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ina.larsen\Google Drive\DARTS Projects\DARTS Home - Confluence\2. UMS Index of Tables\"/>
    </mc:Choice>
  </mc:AlternateContent>
  <bookViews>
    <workbookView xWindow="0" yWindow="0" windowWidth="13800" windowHeight="8568"/>
  </bookViews>
  <sheets>
    <sheet name="UM_STUD_EXT_ARC" sheetId="1" r:id="rId1"/>
  </sheets>
  <calcPr calcId="152511"/>
</workbook>
</file>

<file path=xl/calcChain.xml><?xml version="1.0" encoding="utf-8"?>
<calcChain xmlns="http://schemas.openxmlformats.org/spreadsheetml/2006/main">
  <c r="B201" i="1" l="1"/>
  <c r="B199" i="1"/>
  <c r="B234" i="1"/>
  <c r="B83" i="1"/>
  <c r="B188" i="1"/>
  <c r="B210" i="1"/>
  <c r="B84" i="1"/>
  <c r="B69" i="1"/>
  <c r="B213" i="1"/>
  <c r="B214" i="1"/>
  <c r="B175" i="1"/>
  <c r="B187" i="1"/>
  <c r="B235" i="1"/>
  <c r="B256" i="1"/>
  <c r="B255" i="1"/>
  <c r="B115" i="1"/>
  <c r="B178" i="1"/>
  <c r="B231" i="1"/>
  <c r="B229" i="1"/>
  <c r="B227" i="1"/>
  <c r="B225" i="1"/>
  <c r="B223" i="1"/>
  <c r="B221" i="1"/>
  <c r="B219" i="1"/>
  <c r="B60" i="1"/>
  <c r="B183" i="1"/>
  <c r="B182" i="1"/>
  <c r="B180" i="1"/>
  <c r="B181" i="1"/>
  <c r="B33" i="1"/>
  <c r="B90" i="1"/>
  <c r="B230" i="1"/>
  <c r="B228" i="1"/>
  <c r="B226" i="1"/>
  <c r="B224" i="1"/>
  <c r="B222" i="1"/>
  <c r="B220" i="1"/>
  <c r="B218" i="1"/>
  <c r="B31" i="1"/>
  <c r="B26" i="1"/>
  <c r="B233" i="1"/>
  <c r="B232" i="1"/>
  <c r="B236" i="1"/>
  <c r="B191" i="1"/>
  <c r="B217" i="1"/>
  <c r="B133" i="1"/>
  <c r="B149" i="1"/>
  <c r="B157" i="1"/>
  <c r="B253" i="1"/>
  <c r="B245" i="1"/>
  <c r="B250" i="1"/>
  <c r="B74" i="1"/>
  <c r="B19" i="1"/>
  <c r="B176" i="1"/>
  <c r="B8" i="1"/>
  <c r="B7" i="1"/>
  <c r="B6" i="1"/>
  <c r="B51" i="1"/>
  <c r="B53" i="1"/>
  <c r="B81" i="1"/>
  <c r="B251" i="1"/>
  <c r="B41" i="1"/>
  <c r="B209" i="1"/>
  <c r="B207" i="1"/>
  <c r="B208" i="1"/>
  <c r="B204" i="1"/>
  <c r="B206" i="1"/>
  <c r="B205" i="1"/>
  <c r="B194" i="1"/>
  <c r="B195" i="1"/>
  <c r="B196" i="1"/>
  <c r="B203" i="1"/>
  <c r="B193" i="1"/>
  <c r="B192" i="1"/>
  <c r="B198" i="1"/>
  <c r="B197" i="1"/>
  <c r="B202" i="1"/>
  <c r="B200" i="1"/>
  <c r="B190" i="1"/>
  <c r="B72" i="1"/>
  <c r="B131" i="1"/>
  <c r="B216" i="1"/>
  <c r="B132" i="1"/>
  <c r="B17" i="1"/>
  <c r="B179" i="1"/>
  <c r="B16" i="1"/>
  <c r="B57" i="1"/>
  <c r="B174" i="1"/>
  <c r="B4" i="1"/>
  <c r="B11" i="1"/>
  <c r="B177" i="1"/>
  <c r="B136" i="1"/>
  <c r="B254" i="1"/>
  <c r="B20" i="1"/>
  <c r="B3" i="1"/>
  <c r="B92" i="1"/>
  <c r="B91" i="1"/>
  <c r="B145" i="1"/>
  <c r="B110" i="1"/>
  <c r="B109" i="1"/>
  <c r="B173" i="1"/>
  <c r="B113" i="1"/>
  <c r="B112" i="1"/>
  <c r="B126" i="1"/>
  <c r="B96" i="1"/>
  <c r="B65" i="1"/>
  <c r="B137" i="1"/>
  <c r="B144" i="1"/>
  <c r="B80" i="1"/>
  <c r="B140" i="1"/>
  <c r="B66" i="1"/>
  <c r="B79" i="1"/>
  <c r="B118" i="1"/>
  <c r="B124" i="1"/>
  <c r="B123" i="1"/>
  <c r="B52" i="1"/>
  <c r="B168" i="1"/>
  <c r="B54" i="1"/>
  <c r="B5" i="1"/>
  <c r="B18" i="1"/>
  <c r="B237" i="1"/>
  <c r="B36" i="1"/>
  <c r="B73" i="1"/>
  <c r="B75" i="1"/>
  <c r="B76" i="1"/>
  <c r="B171" i="1"/>
  <c r="B172" i="1"/>
  <c r="B134" i="1"/>
  <c r="B46" i="1"/>
  <c r="B45" i="1"/>
  <c r="B146" i="1"/>
  <c r="B78" i="1"/>
  <c r="B150" i="1"/>
  <c r="B159" i="1"/>
  <c r="B154" i="1"/>
  <c r="B158" i="1"/>
  <c r="B148" i="1"/>
  <c r="B153" i="1"/>
  <c r="B163" i="1"/>
  <c r="B164" i="1"/>
  <c r="B147" i="1"/>
  <c r="B152" i="1"/>
  <c r="B151" i="1"/>
  <c r="B156" i="1"/>
  <c r="B161" i="1"/>
  <c r="B155" i="1"/>
  <c r="B160" i="1"/>
  <c r="B162" i="1"/>
  <c r="B128" i="1"/>
  <c r="B82" i="1"/>
  <c r="B247" i="1"/>
  <c r="B242" i="1"/>
  <c r="B246" i="1"/>
  <c r="B241" i="1"/>
  <c r="B252" i="1"/>
  <c r="B165" i="1"/>
  <c r="B167" i="1"/>
  <c r="B166" i="1"/>
  <c r="B170" i="1"/>
  <c r="B169" i="1"/>
  <c r="B238" i="1"/>
  <c r="B240" i="1"/>
  <c r="B239" i="1"/>
  <c r="B244" i="1"/>
  <c r="B249" i="1"/>
  <c r="B243" i="1"/>
  <c r="B248" i="1"/>
  <c r="B122" i="1"/>
  <c r="B108" i="1"/>
  <c r="B101" i="1"/>
  <c r="B99" i="1"/>
  <c r="B95" i="1"/>
  <c r="B97" i="1"/>
  <c r="B98" i="1"/>
  <c r="B111" i="1"/>
  <c r="B62" i="1"/>
  <c r="B107" i="1"/>
  <c r="B106" i="1"/>
  <c r="B105" i="1"/>
  <c r="B15" i="1"/>
  <c r="B88" i="1"/>
  <c r="B258" i="1"/>
  <c r="B259" i="1"/>
  <c r="B257" i="1"/>
  <c r="B125" i="1"/>
  <c r="B143" i="1"/>
  <c r="B32" i="1"/>
  <c r="B56" i="1"/>
  <c r="B142" i="1"/>
  <c r="B116" i="1"/>
  <c r="B55" i="1"/>
  <c r="B10" i="1"/>
  <c r="B13" i="1"/>
  <c r="B87" i="1"/>
  <c r="B14" i="1"/>
  <c r="B47" i="1"/>
  <c r="B9" i="1"/>
  <c r="B127" i="1"/>
  <c r="B71" i="1"/>
  <c r="B120" i="1"/>
  <c r="B21" i="1"/>
  <c r="B119" i="1"/>
  <c r="B121" i="1"/>
  <c r="B12" i="1"/>
  <c r="B86" i="1"/>
  <c r="B85" i="1"/>
  <c r="B27" i="1"/>
  <c r="B141" i="1"/>
  <c r="B2" i="1"/>
  <c r="B28" i="1"/>
  <c r="B29" i="1"/>
  <c r="B130" i="1"/>
  <c r="B129" i="1"/>
  <c r="B30" i="1"/>
  <c r="B61" i="1"/>
  <c r="B184" i="1"/>
  <c r="B185" i="1"/>
  <c r="B43" i="1"/>
  <c r="B186" i="1"/>
  <c r="B59" i="1"/>
  <c r="B94" i="1"/>
  <c r="B93" i="1"/>
  <c r="B189" i="1"/>
  <c r="B68" i="1"/>
  <c r="B70" i="1"/>
  <c r="B211" i="1"/>
  <c r="B212" i="1"/>
  <c r="B37" i="1"/>
  <c r="B40" i="1"/>
  <c r="B39" i="1"/>
  <c r="B38" i="1"/>
  <c r="B135" i="1"/>
  <c r="B114" i="1"/>
  <c r="B63" i="1"/>
  <c r="B49" i="1"/>
  <c r="B48" i="1"/>
  <c r="B50" i="1"/>
  <c r="B117" i="1"/>
  <c r="B139" i="1"/>
  <c r="B138" i="1"/>
  <c r="B44" i="1"/>
  <c r="B25" i="1"/>
  <c r="B24" i="1"/>
  <c r="B23" i="1"/>
  <c r="B22" i="1"/>
  <c r="B215" i="1"/>
  <c r="B102" i="1"/>
  <c r="B104" i="1"/>
  <c r="B103" i="1"/>
  <c r="B100" i="1"/>
  <c r="B77" i="1"/>
  <c r="B89" i="1"/>
  <c r="B67" i="1"/>
  <c r="B58" i="1"/>
  <c r="B42" i="1"/>
  <c r="B35" i="1"/>
  <c r="B34" i="1"/>
  <c r="B64" i="1"/>
  <c r="E201" i="1"/>
  <c r="C201" i="1"/>
  <c r="E199" i="1"/>
  <c r="C199" i="1"/>
  <c r="E234" i="1"/>
  <c r="C234" i="1"/>
  <c r="E83" i="1"/>
  <c r="C83" i="1"/>
  <c r="E188" i="1"/>
  <c r="C188" i="1"/>
  <c r="E210" i="1"/>
  <c r="D210" i="1"/>
  <c r="C210" i="1"/>
  <c r="E84" i="1"/>
  <c r="C84" i="1"/>
  <c r="E69" i="1"/>
  <c r="D69" i="1"/>
  <c r="C69" i="1"/>
  <c r="E213" i="1"/>
  <c r="C213" i="1"/>
  <c r="E214" i="1"/>
  <c r="C214" i="1"/>
  <c r="E175" i="1"/>
  <c r="D175" i="1"/>
  <c r="C175" i="1"/>
  <c r="E187" i="1"/>
  <c r="C187" i="1"/>
  <c r="E235" i="1"/>
  <c r="C235" i="1"/>
  <c r="E256" i="1"/>
  <c r="C256" i="1"/>
  <c r="E255" i="1"/>
  <c r="C255" i="1"/>
  <c r="E115" i="1"/>
  <c r="C115" i="1"/>
  <c r="E178" i="1"/>
  <c r="C178" i="1"/>
  <c r="E231" i="1"/>
  <c r="C231" i="1"/>
  <c r="E229" i="1"/>
  <c r="C229" i="1"/>
  <c r="E227" i="1"/>
  <c r="C227" i="1"/>
  <c r="E225" i="1"/>
  <c r="C225" i="1"/>
  <c r="E223" i="1"/>
  <c r="C223" i="1"/>
  <c r="E221" i="1"/>
  <c r="C221" i="1"/>
  <c r="E219" i="1"/>
  <c r="C219" i="1"/>
  <c r="E60" i="1"/>
  <c r="D60" i="1"/>
  <c r="C60" i="1"/>
  <c r="E183" i="1"/>
  <c r="C183" i="1"/>
  <c r="E182" i="1"/>
  <c r="C182" i="1"/>
  <c r="E180" i="1"/>
  <c r="C180" i="1"/>
  <c r="E181" i="1"/>
  <c r="C181" i="1"/>
  <c r="E33" i="1"/>
  <c r="C33" i="1"/>
  <c r="E90" i="1"/>
  <c r="C90" i="1"/>
  <c r="E230" i="1"/>
  <c r="C230" i="1"/>
  <c r="E228" i="1"/>
  <c r="C228" i="1"/>
  <c r="E226" i="1"/>
  <c r="C226" i="1"/>
  <c r="E224" i="1"/>
  <c r="C224" i="1"/>
  <c r="E222" i="1"/>
  <c r="C222" i="1"/>
  <c r="E220" i="1"/>
  <c r="C220" i="1"/>
  <c r="E218" i="1"/>
  <c r="C218" i="1"/>
  <c r="E31" i="1"/>
  <c r="C31" i="1"/>
  <c r="E26" i="1"/>
  <c r="C26" i="1"/>
  <c r="E233" i="1"/>
  <c r="C233" i="1"/>
  <c r="E232" i="1"/>
  <c r="C232" i="1"/>
  <c r="E236" i="1"/>
  <c r="C236" i="1"/>
  <c r="E191" i="1"/>
  <c r="C191" i="1"/>
  <c r="E217" i="1"/>
  <c r="C217" i="1"/>
  <c r="E133" i="1"/>
  <c r="C133" i="1"/>
  <c r="E149" i="1"/>
  <c r="C149" i="1"/>
  <c r="E157" i="1"/>
  <c r="C157" i="1"/>
  <c r="E253" i="1"/>
  <c r="C253" i="1"/>
  <c r="E245" i="1"/>
  <c r="C245" i="1"/>
  <c r="E250" i="1"/>
  <c r="C250" i="1"/>
  <c r="E74" i="1"/>
  <c r="D74" i="1"/>
  <c r="C74" i="1"/>
  <c r="E19" i="1"/>
  <c r="D19" i="1"/>
  <c r="C19" i="1"/>
  <c r="E176" i="1"/>
  <c r="C176" i="1"/>
  <c r="E8" i="1"/>
  <c r="C8" i="1"/>
  <c r="E7" i="1"/>
  <c r="C7" i="1"/>
  <c r="E6" i="1"/>
  <c r="C6" i="1"/>
  <c r="E51" i="1"/>
  <c r="C51" i="1"/>
  <c r="E53" i="1"/>
  <c r="C53" i="1"/>
  <c r="E81" i="1"/>
  <c r="C81" i="1"/>
  <c r="E251" i="1"/>
  <c r="C251" i="1"/>
  <c r="E41" i="1"/>
  <c r="C41" i="1"/>
  <c r="E209" i="1"/>
  <c r="C209" i="1"/>
  <c r="E207" i="1"/>
  <c r="C207" i="1"/>
  <c r="E208" i="1"/>
  <c r="C208" i="1"/>
  <c r="E204" i="1"/>
  <c r="C204" i="1"/>
  <c r="E206" i="1"/>
  <c r="C206" i="1"/>
  <c r="E205" i="1"/>
  <c r="C205" i="1"/>
  <c r="E194" i="1"/>
  <c r="C194" i="1"/>
  <c r="E195" i="1"/>
  <c r="C195" i="1"/>
  <c r="E196" i="1"/>
  <c r="C196" i="1"/>
  <c r="E203" i="1"/>
  <c r="C203" i="1"/>
  <c r="E193" i="1"/>
  <c r="C193" i="1"/>
  <c r="E192" i="1"/>
  <c r="C192" i="1"/>
  <c r="E198" i="1"/>
  <c r="C198" i="1"/>
  <c r="E197" i="1"/>
  <c r="C197" i="1"/>
  <c r="E202" i="1"/>
  <c r="C202" i="1"/>
  <c r="E200" i="1"/>
  <c r="C200" i="1"/>
  <c r="E190" i="1"/>
  <c r="C190" i="1"/>
  <c r="E72" i="1"/>
  <c r="C72" i="1"/>
  <c r="E131" i="1"/>
  <c r="C131" i="1"/>
  <c r="E216" i="1"/>
  <c r="C216" i="1"/>
  <c r="E132" i="1"/>
  <c r="C132" i="1"/>
  <c r="E17" i="1"/>
  <c r="D17" i="1"/>
  <c r="C17" i="1"/>
  <c r="E179" i="1"/>
  <c r="C179" i="1"/>
  <c r="E16" i="1"/>
  <c r="C16" i="1"/>
  <c r="E57" i="1"/>
  <c r="C57" i="1"/>
  <c r="E174" i="1"/>
  <c r="C174" i="1"/>
  <c r="E4" i="1"/>
  <c r="C4" i="1"/>
  <c r="E11" i="1"/>
  <c r="D11" i="1"/>
  <c r="C11" i="1"/>
  <c r="E177" i="1"/>
  <c r="C177" i="1"/>
  <c r="E136" i="1"/>
  <c r="C136" i="1"/>
  <c r="E254" i="1"/>
  <c r="C254" i="1"/>
  <c r="E20" i="1"/>
  <c r="C20" i="1"/>
  <c r="E3" i="1"/>
  <c r="C3" i="1"/>
  <c r="E92" i="1"/>
  <c r="C92" i="1"/>
  <c r="E91" i="1"/>
  <c r="C91" i="1"/>
  <c r="E145" i="1"/>
  <c r="C145" i="1"/>
  <c r="E110" i="1"/>
  <c r="C110" i="1"/>
  <c r="E109" i="1"/>
  <c r="C109" i="1"/>
  <c r="E173" i="1"/>
  <c r="C173" i="1"/>
  <c r="E113" i="1"/>
  <c r="C113" i="1"/>
  <c r="E112" i="1"/>
  <c r="C112" i="1"/>
  <c r="E126" i="1"/>
  <c r="D126" i="1"/>
  <c r="C126" i="1"/>
  <c r="E96" i="1"/>
  <c r="C96" i="1"/>
  <c r="E65" i="1"/>
  <c r="C65" i="1"/>
  <c r="E137" i="1"/>
  <c r="C137" i="1"/>
  <c r="E144" i="1"/>
  <c r="C144" i="1"/>
  <c r="E80" i="1"/>
  <c r="C80" i="1"/>
  <c r="E140" i="1"/>
  <c r="C140" i="1"/>
  <c r="E66" i="1"/>
  <c r="C66" i="1"/>
  <c r="E79" i="1"/>
  <c r="C79" i="1"/>
  <c r="E118" i="1"/>
  <c r="C118" i="1"/>
  <c r="E124" i="1"/>
  <c r="C124" i="1"/>
  <c r="E123" i="1"/>
  <c r="C123" i="1"/>
  <c r="E52" i="1"/>
  <c r="C52" i="1"/>
  <c r="E168" i="1"/>
  <c r="C168" i="1"/>
  <c r="E54" i="1"/>
  <c r="C54" i="1"/>
  <c r="E5" i="1"/>
  <c r="C5" i="1"/>
  <c r="E18" i="1"/>
  <c r="C18" i="1"/>
  <c r="E237" i="1"/>
  <c r="C237" i="1"/>
  <c r="E36" i="1"/>
  <c r="C36" i="1"/>
  <c r="E73" i="1"/>
  <c r="C73" i="1"/>
  <c r="E75" i="1"/>
  <c r="C75" i="1"/>
  <c r="E76" i="1"/>
  <c r="C76" i="1"/>
  <c r="E171" i="1"/>
  <c r="C171" i="1"/>
  <c r="E172" i="1"/>
  <c r="C172" i="1"/>
  <c r="E134" i="1"/>
  <c r="C134" i="1"/>
  <c r="E46" i="1"/>
  <c r="C46" i="1"/>
  <c r="E45" i="1"/>
  <c r="C45" i="1"/>
  <c r="E146" i="1"/>
  <c r="D146" i="1"/>
  <c r="C146" i="1"/>
  <c r="E78" i="1"/>
  <c r="D78" i="1"/>
  <c r="C78" i="1"/>
  <c r="E150" i="1"/>
  <c r="C150" i="1"/>
  <c r="E159" i="1"/>
  <c r="C159" i="1"/>
  <c r="E154" i="1"/>
  <c r="C154" i="1"/>
  <c r="E158" i="1"/>
  <c r="C158" i="1"/>
  <c r="E148" i="1"/>
  <c r="C148" i="1"/>
  <c r="E153" i="1"/>
  <c r="C153" i="1"/>
  <c r="E163" i="1"/>
  <c r="C163" i="1"/>
  <c r="E164" i="1"/>
  <c r="C164" i="1"/>
  <c r="E147" i="1"/>
  <c r="C147" i="1"/>
  <c r="E152" i="1"/>
  <c r="C152" i="1"/>
  <c r="E151" i="1"/>
  <c r="C151" i="1"/>
  <c r="E156" i="1"/>
  <c r="C156" i="1"/>
  <c r="E161" i="1"/>
  <c r="C161" i="1"/>
  <c r="E155" i="1"/>
  <c r="C155" i="1"/>
  <c r="E160" i="1"/>
  <c r="C160" i="1"/>
  <c r="E162" i="1"/>
  <c r="C162" i="1"/>
  <c r="E128" i="1"/>
  <c r="C128" i="1"/>
  <c r="E82" i="1"/>
  <c r="C82" i="1"/>
  <c r="E247" i="1"/>
  <c r="C247" i="1"/>
  <c r="E242" i="1"/>
  <c r="C242" i="1"/>
  <c r="E246" i="1"/>
  <c r="C246" i="1"/>
  <c r="E241" i="1"/>
  <c r="C241" i="1"/>
  <c r="E252" i="1"/>
  <c r="C252" i="1"/>
  <c r="E165" i="1"/>
  <c r="C165" i="1"/>
  <c r="E167" i="1"/>
  <c r="C167" i="1"/>
  <c r="E166" i="1"/>
  <c r="C166" i="1"/>
  <c r="E170" i="1"/>
  <c r="C170" i="1"/>
  <c r="E169" i="1"/>
  <c r="C169" i="1"/>
  <c r="E238" i="1"/>
  <c r="C238" i="1"/>
  <c r="E240" i="1"/>
  <c r="C240" i="1"/>
  <c r="E239" i="1"/>
  <c r="C239" i="1"/>
  <c r="E244" i="1"/>
  <c r="C244" i="1"/>
  <c r="E249" i="1"/>
  <c r="C249" i="1"/>
  <c r="E243" i="1"/>
  <c r="C243" i="1"/>
  <c r="E248" i="1"/>
  <c r="C248" i="1"/>
  <c r="E122" i="1"/>
  <c r="C122" i="1"/>
  <c r="E108" i="1"/>
  <c r="C108" i="1"/>
  <c r="E101" i="1"/>
  <c r="C101" i="1"/>
  <c r="E99" i="1"/>
  <c r="C99" i="1"/>
  <c r="E95" i="1"/>
  <c r="C95" i="1"/>
  <c r="E97" i="1"/>
  <c r="C97" i="1"/>
  <c r="E98" i="1"/>
  <c r="C98" i="1"/>
  <c r="E111" i="1"/>
  <c r="C111" i="1"/>
  <c r="E62" i="1"/>
  <c r="C62" i="1"/>
  <c r="E107" i="1"/>
  <c r="C107" i="1"/>
  <c r="E106" i="1"/>
  <c r="C106" i="1"/>
  <c r="E105" i="1"/>
  <c r="D105" i="1"/>
  <c r="C105" i="1"/>
  <c r="E15" i="1"/>
  <c r="C15" i="1"/>
  <c r="E88" i="1"/>
  <c r="C88" i="1"/>
  <c r="E258" i="1"/>
  <c r="C258" i="1"/>
  <c r="E259" i="1"/>
  <c r="D259" i="1"/>
  <c r="C259" i="1"/>
  <c r="E257" i="1"/>
  <c r="D257" i="1"/>
  <c r="C257" i="1"/>
  <c r="E125" i="1"/>
  <c r="C125" i="1"/>
  <c r="E143" i="1"/>
  <c r="C143" i="1"/>
  <c r="E32" i="1"/>
  <c r="D32" i="1"/>
  <c r="C32" i="1"/>
  <c r="E56" i="1"/>
  <c r="D56" i="1"/>
  <c r="C56" i="1"/>
  <c r="E142" i="1"/>
  <c r="C142" i="1"/>
  <c r="E116" i="1"/>
  <c r="C116" i="1"/>
  <c r="E55" i="1"/>
  <c r="C55" i="1"/>
  <c r="E10" i="1"/>
  <c r="C10" i="1"/>
  <c r="E13" i="1"/>
  <c r="C13" i="1"/>
  <c r="E87" i="1"/>
  <c r="C87" i="1"/>
  <c r="E14" i="1"/>
  <c r="C14" i="1"/>
  <c r="E47" i="1"/>
  <c r="C47" i="1"/>
  <c r="E9" i="1"/>
  <c r="D9" i="1"/>
  <c r="C9" i="1"/>
  <c r="E127" i="1"/>
  <c r="C127" i="1"/>
  <c r="E71" i="1"/>
  <c r="C71" i="1"/>
  <c r="E120" i="1"/>
  <c r="C120" i="1"/>
  <c r="E21" i="1"/>
  <c r="C21" i="1"/>
  <c r="E119" i="1"/>
  <c r="D119" i="1"/>
  <c r="C119" i="1"/>
  <c r="E121" i="1"/>
  <c r="D121" i="1"/>
  <c r="C121" i="1"/>
  <c r="E12" i="1"/>
  <c r="C12" i="1"/>
  <c r="E86" i="1"/>
  <c r="C86" i="1"/>
  <c r="E85" i="1"/>
  <c r="C85" i="1"/>
  <c r="E27" i="1"/>
  <c r="C27" i="1"/>
  <c r="E141" i="1"/>
  <c r="C141" i="1"/>
  <c r="E2" i="1"/>
  <c r="D2" i="1"/>
  <c r="C2" i="1"/>
  <c r="E28" i="1"/>
  <c r="C28" i="1"/>
  <c r="E29" i="1"/>
  <c r="C29" i="1"/>
  <c r="E130" i="1"/>
  <c r="C130" i="1"/>
  <c r="E129" i="1"/>
  <c r="C129" i="1"/>
  <c r="E30" i="1"/>
  <c r="C30" i="1"/>
  <c r="E61" i="1"/>
  <c r="C61" i="1"/>
  <c r="E184" i="1"/>
  <c r="C184" i="1"/>
  <c r="E185" i="1"/>
  <c r="C185" i="1"/>
  <c r="E43" i="1"/>
  <c r="C43" i="1"/>
  <c r="E186" i="1"/>
  <c r="C186" i="1"/>
  <c r="E59" i="1"/>
  <c r="C59" i="1"/>
  <c r="E94" i="1"/>
  <c r="C94" i="1"/>
  <c r="E93" i="1"/>
  <c r="D93" i="1"/>
  <c r="C93" i="1"/>
  <c r="E189" i="1"/>
  <c r="C189" i="1"/>
  <c r="E68" i="1"/>
  <c r="D68" i="1"/>
  <c r="C68" i="1"/>
  <c r="E70" i="1"/>
  <c r="C70" i="1"/>
  <c r="E211" i="1"/>
  <c r="C211" i="1"/>
  <c r="E212" i="1"/>
  <c r="C212" i="1"/>
  <c r="E37" i="1"/>
  <c r="C37" i="1"/>
  <c r="E40" i="1"/>
  <c r="C40" i="1"/>
  <c r="E39" i="1"/>
  <c r="C39" i="1"/>
  <c r="E38" i="1"/>
  <c r="C38" i="1"/>
  <c r="E135" i="1"/>
  <c r="D135" i="1"/>
  <c r="C135" i="1"/>
  <c r="E114" i="1"/>
  <c r="C114" i="1"/>
  <c r="E63" i="1"/>
  <c r="C63" i="1"/>
  <c r="E49" i="1"/>
  <c r="C49" i="1"/>
  <c r="E48" i="1"/>
  <c r="C48" i="1"/>
  <c r="E50" i="1"/>
  <c r="C50" i="1"/>
  <c r="E117" i="1"/>
  <c r="C117" i="1"/>
  <c r="E139" i="1"/>
  <c r="C139" i="1"/>
  <c r="E138" i="1"/>
  <c r="C138" i="1"/>
  <c r="E44" i="1"/>
  <c r="C44" i="1"/>
  <c r="E25" i="1"/>
  <c r="C25" i="1"/>
  <c r="E24" i="1"/>
  <c r="C24" i="1"/>
  <c r="E23" i="1"/>
  <c r="C23" i="1"/>
  <c r="E22" i="1"/>
  <c r="C22" i="1"/>
  <c r="E215" i="1"/>
  <c r="C215" i="1"/>
  <c r="E102" i="1"/>
  <c r="C102" i="1"/>
  <c r="E104" i="1"/>
  <c r="C104" i="1"/>
  <c r="E103" i="1"/>
  <c r="C103" i="1"/>
  <c r="E100" i="1"/>
  <c r="C100" i="1"/>
  <c r="E77" i="1"/>
  <c r="C77" i="1"/>
  <c r="E89" i="1"/>
  <c r="C89" i="1"/>
  <c r="E67" i="1"/>
  <c r="C67" i="1"/>
  <c r="E58" i="1"/>
  <c r="D58" i="1"/>
  <c r="C58" i="1"/>
  <c r="E42" i="1"/>
  <c r="D42" i="1"/>
  <c r="C42" i="1"/>
  <c r="E35" i="1"/>
  <c r="C35" i="1"/>
  <c r="E34" i="1"/>
  <c r="C34" i="1"/>
  <c r="E64" i="1"/>
  <c r="C64" i="1"/>
</calcChain>
</file>

<file path=xl/sharedStrings.xml><?xml version="1.0" encoding="utf-8"?>
<sst xmlns="http://schemas.openxmlformats.org/spreadsheetml/2006/main" count="18" uniqueCount="6">
  <si>
    <t>Record.Fieldname</t>
  </si>
  <si>
    <t>Format</t>
  </si>
  <si>
    <t>XLAT</t>
  </si>
  <si>
    <t>Heading Text</t>
  </si>
  <si>
    <t>Key</t>
  </si>
  <si>
    <t>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</si>
</sst>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9" fillId="0" borderId="10" xfId="0" applyFont="1" applyBorder="1" applyAlignment="1">
      <alignment horizontal="center" vertical="center"/>
    </xf>
    <xf numFmtId="0" fontId="0" fillId="0" borderId="0" xfId="0" applyAlignment="1"/>
    <xf numFmtId="0" fontId="18" fillId="0" borderId="10" xfId="0" applyFont="1" applyBorder="1" applyAlignment="1"/>
    <xf numFmtId="0" fontId="0" fillId="0" borderId="10" xfId="0" applyBorder="1" applyAlignment="1"/>
    <xf numFmtId="0" fontId="20" fillId="0" borderId="10" xfId="0" applyFont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9"/>
  <sheetViews>
    <sheetView showGridLines="0" tabSelected="1" topLeftCell="A124" workbookViewId="0">
      <selection activeCell="A143" sqref="A143"/>
    </sheetView>
  </sheetViews>
  <sheetFormatPr defaultRowHeight="14.4" x14ac:dyDescent="0.3"/>
  <cols>
    <col min="1" max="1" width="4" style="2" bestFit="1" customWidth="1"/>
    <col min="2" max="2" width="46.44140625" style="2" bestFit="1" customWidth="1"/>
    <col min="3" max="3" width="8.21875" style="2" bestFit="1" customWidth="1"/>
    <col min="4" max="4" width="4.77734375" style="2" bestFit="1" customWidth="1"/>
    <col min="5" max="5" width="15.88671875" style="2" bestFit="1" customWidth="1"/>
    <col min="6" max="16384" width="8.88671875" style="2"/>
  </cols>
  <sheetData>
    <row r="1" spans="1:5" x14ac:dyDescent="0.3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3">
      <c r="A2" s="5" t="s">
        <v>5</v>
      </c>
      <c r="B2" s="3" t="str">
        <f>"ACAD_CAREER - Academic Career"</f>
        <v>ACAD_CAREER - Academic Career</v>
      </c>
      <c r="C2" s="3" t="str">
        <f>"Char4"</f>
        <v>Char4</v>
      </c>
      <c r="D2" s="3" t="str">
        <f>"N"</f>
        <v>N</v>
      </c>
      <c r="E2" s="3" t="str">
        <f>"Career"</f>
        <v>Career</v>
      </c>
    </row>
    <row r="3" spans="1:5" x14ac:dyDescent="0.3">
      <c r="A3" s="3"/>
      <c r="B3" s="3" t="str">
        <f>"ACAD_CAREER_FIRST - First Time in Career"</f>
        <v>ACAD_CAREER_FIRST - First Time in Career</v>
      </c>
      <c r="C3" s="3" t="str">
        <f>"Char1"</f>
        <v>Char1</v>
      </c>
      <c r="D3" s="4"/>
      <c r="E3" s="3" t="str">
        <f>"First Time Car"</f>
        <v>First Time Car</v>
      </c>
    </row>
    <row r="4" spans="1:5" x14ac:dyDescent="0.3">
      <c r="A4" s="3"/>
      <c r="B4" s="3" t="str">
        <f>"ACAD_GROUP - Academic Group"</f>
        <v>ACAD_GROUP - Academic Group</v>
      </c>
      <c r="C4" s="3" t="str">
        <f>"Char5"</f>
        <v>Char5</v>
      </c>
      <c r="D4" s="4"/>
      <c r="E4" s="3" t="str">
        <f>"Acad Group"</f>
        <v>Acad Group</v>
      </c>
    </row>
    <row r="5" spans="1:5" x14ac:dyDescent="0.3">
      <c r="A5" s="3"/>
      <c r="B5" s="3" t="str">
        <f>"ACAD_GROUP_ADVIS - Academic Group of Advisor"</f>
        <v>ACAD_GROUP_ADVIS - Academic Group of Advisor</v>
      </c>
      <c r="C5" s="3" t="str">
        <f>"Char5"</f>
        <v>Char5</v>
      </c>
      <c r="D5" s="4"/>
      <c r="E5" s="3" t="str">
        <f>"Group"</f>
        <v>Group</v>
      </c>
    </row>
    <row r="6" spans="1:5" x14ac:dyDescent="0.3">
      <c r="A6" s="3"/>
      <c r="B6" s="3" t="str">
        <f>"ACAD_LEVEL_BOT - Academic Level - Term Start"</f>
        <v>ACAD_LEVEL_BOT - Academic Level - Term Start</v>
      </c>
      <c r="C6" s="3" t="str">
        <f>"Char3"</f>
        <v>Char3</v>
      </c>
      <c r="D6" s="4"/>
      <c r="E6" s="3" t="str">
        <f>"Strt Level"</f>
        <v>Strt Level</v>
      </c>
    </row>
    <row r="7" spans="1:5" x14ac:dyDescent="0.3">
      <c r="A7" s="3"/>
      <c r="B7" s="3" t="str">
        <f>"ACAD_LEVEL_EOT - Academic Level - Term End"</f>
        <v>ACAD_LEVEL_EOT - Academic Level - Term End</v>
      </c>
      <c r="C7" s="3" t="str">
        <f>"Char3"</f>
        <v>Char3</v>
      </c>
      <c r="D7" s="4"/>
      <c r="E7" s="3" t="str">
        <f>"End Level"</f>
        <v>End Level</v>
      </c>
    </row>
    <row r="8" spans="1:5" x14ac:dyDescent="0.3">
      <c r="A8" s="3"/>
      <c r="B8" s="3" t="str">
        <f>"ACAD_LEVEL_PROJ - Academic Level - Projected"</f>
        <v>ACAD_LEVEL_PROJ - Academic Level - Projected</v>
      </c>
      <c r="C8" s="3" t="str">
        <f>"Char3"</f>
        <v>Char3</v>
      </c>
      <c r="D8" s="4"/>
      <c r="E8" s="3" t="str">
        <f>"Proj Level"</f>
        <v>Proj Level</v>
      </c>
    </row>
    <row r="9" spans="1:5" x14ac:dyDescent="0.3">
      <c r="A9" s="3"/>
      <c r="B9" s="3" t="str">
        <f>"ACAD_LOAD_APPR - Approved Academic Load"</f>
        <v>ACAD_LOAD_APPR - Approved Academic Load</v>
      </c>
      <c r="C9" s="3" t="str">
        <f>"Char1"</f>
        <v>Char1</v>
      </c>
      <c r="D9" s="3" t="str">
        <f>"N"</f>
        <v>N</v>
      </c>
      <c r="E9" s="3" t="str">
        <f>"Acad Load"</f>
        <v>Acad Load</v>
      </c>
    </row>
    <row r="10" spans="1:5" x14ac:dyDescent="0.3">
      <c r="A10" s="5" t="s">
        <v>5</v>
      </c>
      <c r="B10" s="3" t="str">
        <f>"ACAD_PLAN - Academic Plan"</f>
        <v>ACAD_PLAN - Academic Plan</v>
      </c>
      <c r="C10" s="3" t="str">
        <f>"Char10"</f>
        <v>Char10</v>
      </c>
      <c r="D10" s="4"/>
      <c r="E10" s="3" t="str">
        <f>"Acad Plan"</f>
        <v>Acad Plan</v>
      </c>
    </row>
    <row r="11" spans="1:5" x14ac:dyDescent="0.3">
      <c r="A11" s="3"/>
      <c r="B11" s="3" t="str">
        <f>"ACAD_PLAN_TYPE - Academic Plan Type"</f>
        <v>ACAD_PLAN_TYPE - Academic Plan Type</v>
      </c>
      <c r="C11" s="3" t="str">
        <f>"Char3"</f>
        <v>Char3</v>
      </c>
      <c r="D11" s="3" t="str">
        <f>"N"</f>
        <v>N</v>
      </c>
      <c r="E11" s="3" t="str">
        <f>"Plan Type"</f>
        <v>Plan Type</v>
      </c>
    </row>
    <row r="12" spans="1:5" x14ac:dyDescent="0.3">
      <c r="A12" s="5" t="s">
        <v>5</v>
      </c>
      <c r="B12" s="3" t="str">
        <f>"ACAD_PROG - Academic Program"</f>
        <v>ACAD_PROG - Academic Program</v>
      </c>
      <c r="C12" s="3" t="str">
        <f>"Char5"</f>
        <v>Char5</v>
      </c>
      <c r="D12" s="4"/>
      <c r="E12" s="3" t="str">
        <f>"Acad Prog"</f>
        <v>Acad Prog</v>
      </c>
    </row>
    <row r="13" spans="1:5" x14ac:dyDescent="0.3">
      <c r="A13" s="3"/>
      <c r="B13" s="3" t="str">
        <f>"ACAD_PROG_DESCR - Academic Program"</f>
        <v>ACAD_PROG_DESCR - Academic Program</v>
      </c>
      <c r="C13" s="3" t="str">
        <f>"Char30"</f>
        <v>Char30</v>
      </c>
      <c r="D13" s="4"/>
      <c r="E13" s="3" t="str">
        <f>"Program"</f>
        <v>Program</v>
      </c>
    </row>
    <row r="14" spans="1:5" x14ac:dyDescent="0.3">
      <c r="A14" s="3"/>
      <c r="B14" s="3" t="str">
        <f>"ACAD_PROG_DUAL - Dual Academic Program"</f>
        <v>ACAD_PROG_DUAL - Dual Academic Program</v>
      </c>
      <c r="C14" s="3" t="str">
        <f>"Char5"</f>
        <v>Char5</v>
      </c>
      <c r="D14" s="4"/>
      <c r="E14" s="3" t="str">
        <f>"Dual Prog"</f>
        <v>Dual Prog</v>
      </c>
    </row>
    <row r="15" spans="1:5" x14ac:dyDescent="0.3">
      <c r="A15" s="3"/>
      <c r="B15" s="3" t="str">
        <f>"ACAD_PROG_PRIMARY - Primary Academic Program"</f>
        <v>ACAD_PROG_PRIMARY - Primary Academic Program</v>
      </c>
      <c r="C15" s="3" t="str">
        <f>"Char5"</f>
        <v>Char5</v>
      </c>
      <c r="D15" s="4"/>
      <c r="E15" s="3" t="str">
        <f>"Prim Prog"</f>
        <v>Prim Prog</v>
      </c>
    </row>
    <row r="16" spans="1:5" x14ac:dyDescent="0.3">
      <c r="A16" s="3"/>
      <c r="B16" s="3" t="str">
        <f>"ACAD_SUB_PLAN - Academic Sub-Plan"</f>
        <v>ACAD_SUB_PLAN - Academic Sub-Plan</v>
      </c>
      <c r="C16" s="3" t="str">
        <f>"Char10"</f>
        <v>Char10</v>
      </c>
      <c r="D16" s="4"/>
      <c r="E16" s="3" t="str">
        <f>"Sub-Plan"</f>
        <v>Sub-Plan</v>
      </c>
    </row>
    <row r="17" spans="1:5" x14ac:dyDescent="0.3">
      <c r="A17" s="3"/>
      <c r="B17" s="3" t="str">
        <f>"ACAD_SUBPLAN_TYPE - Academic Sub-Plan Type"</f>
        <v>ACAD_SUBPLAN_TYPE - Academic Sub-Plan Type</v>
      </c>
      <c r="C17" s="3" t="str">
        <f>"Char3"</f>
        <v>Char3</v>
      </c>
      <c r="D17" s="3" t="str">
        <f>"N"</f>
        <v>N</v>
      </c>
      <c r="E17" s="3" t="str">
        <f>"Sub-Pl Typ"</f>
        <v>Sub-Pl Typ</v>
      </c>
    </row>
    <row r="18" spans="1:5" x14ac:dyDescent="0.3">
      <c r="A18" s="3"/>
      <c r="B18" s="3" t="str">
        <f>"ACAD_YEAR - Academic Year"</f>
        <v>ACAD_YEAR - Academic Year</v>
      </c>
      <c r="C18" s="3" t="str">
        <f>"Char4"</f>
        <v>Char4</v>
      </c>
      <c r="D18" s="4"/>
      <c r="E18" s="3" t="str">
        <f>"Acad Year"</f>
        <v>Acad Year</v>
      </c>
    </row>
    <row r="19" spans="1:5" x14ac:dyDescent="0.3">
      <c r="A19" s="3"/>
      <c r="B19" s="3" t="str">
        <f>"ACADEMIC_LOAD - Academic Load"</f>
        <v>ACADEMIC_LOAD - Academic Load</v>
      </c>
      <c r="C19" s="3" t="str">
        <f>"Char1"</f>
        <v>Char1</v>
      </c>
      <c r="D19" s="3" t="str">
        <f>"N"</f>
        <v>N</v>
      </c>
      <c r="E19" s="3" t="str">
        <f>"Acad Load"</f>
        <v>Acad Load</v>
      </c>
    </row>
    <row r="20" spans="1:5" x14ac:dyDescent="0.3">
      <c r="A20" s="3"/>
      <c r="B20" s="3" t="str">
        <f>"ACADEMIC_LOAD_DT - Academic Load Change Date"</f>
        <v>ACADEMIC_LOAD_DT - Academic Load Change Date</v>
      </c>
      <c r="C20" s="3" t="str">
        <f>"Date"</f>
        <v>Date</v>
      </c>
      <c r="D20" s="4"/>
      <c r="E20" s="3" t="str">
        <f>"Load Date"</f>
        <v>Load Date</v>
      </c>
    </row>
    <row r="21" spans="1:5" x14ac:dyDescent="0.3">
      <c r="A21" s="3"/>
      <c r="B21" s="3" t="str">
        <f>"ACTION_DT - Action Date"</f>
        <v>ACTION_DT - Action Date</v>
      </c>
      <c r="C21" s="3" t="str">
        <f>"Date"</f>
        <v>Date</v>
      </c>
      <c r="D21" s="4"/>
      <c r="E21" s="3" t="str">
        <f>"Action Date"</f>
        <v>Action Date</v>
      </c>
    </row>
    <row r="22" spans="1:5" x14ac:dyDescent="0.3">
      <c r="A22" s="3"/>
      <c r="B22" s="3" t="str">
        <f>"ADDRESS1 - Address Line 1"</f>
        <v>ADDRESS1 - Address Line 1</v>
      </c>
      <c r="C22" s="3" t="str">
        <f>"Char55"</f>
        <v>Char55</v>
      </c>
      <c r="D22" s="4"/>
      <c r="E22" s="3" t="str">
        <f>"Address 1"</f>
        <v>Address 1</v>
      </c>
    </row>
    <row r="23" spans="1:5" x14ac:dyDescent="0.3">
      <c r="A23" s="3"/>
      <c r="B23" s="3" t="str">
        <f>"ADDRESS2 - Address Line 2"</f>
        <v>ADDRESS2 - Address Line 2</v>
      </c>
      <c r="C23" s="3" t="str">
        <f>"Char55"</f>
        <v>Char55</v>
      </c>
      <c r="D23" s="4"/>
      <c r="E23" s="3" t="str">
        <f>"Address 2"</f>
        <v>Address 2</v>
      </c>
    </row>
    <row r="24" spans="1:5" x14ac:dyDescent="0.3">
      <c r="A24" s="3"/>
      <c r="B24" s="3" t="str">
        <f>"ADDRESS3 - Address Line 3"</f>
        <v>ADDRESS3 - Address Line 3</v>
      </c>
      <c r="C24" s="3" t="str">
        <f>"Char55"</f>
        <v>Char55</v>
      </c>
      <c r="D24" s="4"/>
      <c r="E24" s="3" t="str">
        <f>"Address 3"</f>
        <v>Address 3</v>
      </c>
    </row>
    <row r="25" spans="1:5" x14ac:dyDescent="0.3">
      <c r="A25" s="3"/>
      <c r="B25" s="3" t="str">
        <f>"ADDRESS4 - Address Line 4"</f>
        <v>ADDRESS4 - Address Line 4</v>
      </c>
      <c r="C25" s="3" t="str">
        <f>"Char55"</f>
        <v>Char55</v>
      </c>
      <c r="D25" s="4"/>
      <c r="E25" s="3" t="str">
        <f>"Address 4"</f>
        <v>Address 4</v>
      </c>
    </row>
    <row r="26" spans="1:5" x14ac:dyDescent="0.3">
      <c r="A26" s="3"/>
      <c r="B26" s="3" t="str">
        <f>"ADM_APPL_CTR - Application Center"</f>
        <v>ADM_APPL_CTR - Application Center</v>
      </c>
      <c r="C26" s="3" t="str">
        <f>"Char4"</f>
        <v>Char4</v>
      </c>
      <c r="D26" s="4"/>
      <c r="E26" s="3" t="str">
        <f>"Appl Ctr"</f>
        <v>Appl Ctr</v>
      </c>
    </row>
    <row r="27" spans="1:5" x14ac:dyDescent="0.3">
      <c r="A27" s="5" t="s">
        <v>5</v>
      </c>
      <c r="B27" s="3" t="str">
        <f>"ADM_APPL_NBR - Application Nbr"</f>
        <v>ADM_APPL_NBR - Application Nbr</v>
      </c>
      <c r="C27" s="3" t="str">
        <f>"Char8"</f>
        <v>Char8</v>
      </c>
      <c r="D27" s="4"/>
      <c r="E27" s="3" t="str">
        <f>"Appl Nbr"</f>
        <v>Appl Nbr</v>
      </c>
    </row>
    <row r="28" spans="1:5" x14ac:dyDescent="0.3">
      <c r="A28" s="3"/>
      <c r="B28" s="3" t="str">
        <f>"ADMISSION_EXCPT - Admission Residency Exception"</f>
        <v>ADMISSION_EXCPT - Admission Residency Exception</v>
      </c>
      <c r="C28" s="3" t="str">
        <f>"Char5"</f>
        <v>Char5</v>
      </c>
      <c r="D28" s="4"/>
      <c r="E28" s="3" t="str">
        <f>"Adm Excpt"</f>
        <v>Adm Excpt</v>
      </c>
    </row>
    <row r="29" spans="1:5" x14ac:dyDescent="0.3">
      <c r="A29" s="3"/>
      <c r="B29" s="3" t="str">
        <f>"ADMISSION_RES - Admissions Residency"</f>
        <v>ADMISSION_RES - Admissions Residency</v>
      </c>
      <c r="C29" s="3" t="str">
        <f>"Char5"</f>
        <v>Char5</v>
      </c>
      <c r="D29" s="4"/>
      <c r="E29" s="3" t="str">
        <f>"Admissions"</f>
        <v>Admissions</v>
      </c>
    </row>
    <row r="30" spans="1:5" x14ac:dyDescent="0.3">
      <c r="A30" s="3"/>
      <c r="B30" s="3" t="str">
        <f>"ADMIT_TERM - Admit Term"</f>
        <v>ADMIT_TERM - Admit Term</v>
      </c>
      <c r="C30" s="3" t="str">
        <f>"Char4"</f>
        <v>Char4</v>
      </c>
      <c r="D30" s="4"/>
      <c r="E30" s="3" t="str">
        <f>"Admit Term"</f>
        <v>Admit Term</v>
      </c>
    </row>
    <row r="31" spans="1:5" x14ac:dyDescent="0.3">
      <c r="A31" s="3"/>
      <c r="B31" s="3" t="str">
        <f>"ADMIT_TYPE - Admit Type"</f>
        <v>ADMIT_TYPE - Admit Type</v>
      </c>
      <c r="C31" s="3" t="str">
        <f>"Char3"</f>
        <v>Char3</v>
      </c>
      <c r="D31" s="4"/>
      <c r="E31" s="3" t="str">
        <f>"Admit Type"</f>
        <v>Admit Type</v>
      </c>
    </row>
    <row r="32" spans="1:5" x14ac:dyDescent="0.3">
      <c r="A32" s="3"/>
      <c r="B32" s="3" t="str">
        <f>"ADVIS_STATUS - Advisement Status"</f>
        <v>ADVIS_STATUS - Advisement Status</v>
      </c>
      <c r="C32" s="3" t="str">
        <f>"Char4"</f>
        <v>Char4</v>
      </c>
      <c r="D32" s="3" t="str">
        <f>"N"</f>
        <v>N</v>
      </c>
      <c r="E32" s="3" t="str">
        <f>"Status"</f>
        <v>Status</v>
      </c>
    </row>
    <row r="33" spans="1:5" x14ac:dyDescent="0.3">
      <c r="A33" s="3"/>
      <c r="B33" s="3" t="str">
        <f>"ADVISOR_ID - Academic Advisor"</f>
        <v>ADVISOR_ID - Academic Advisor</v>
      </c>
      <c r="C33" s="3" t="str">
        <f>"Char11"</f>
        <v>Char11</v>
      </c>
      <c r="D33" s="4"/>
      <c r="E33" s="3" t="str">
        <f>"Advisor"</f>
        <v>Advisor</v>
      </c>
    </row>
    <row r="34" spans="1:5" x14ac:dyDescent="0.3">
      <c r="A34" s="5" t="s">
        <v>5</v>
      </c>
      <c r="B34" s="3" t="str">
        <f>"ARCHIVE_DT - Archive Date"</f>
        <v>ARCHIVE_DT - Archive Date</v>
      </c>
      <c r="C34" s="3" t="str">
        <f>"Date"</f>
        <v>Date</v>
      </c>
      <c r="D34" s="4"/>
      <c r="E34" s="3" t="str">
        <f>"Ach Date"</f>
        <v>Ach Date</v>
      </c>
    </row>
    <row r="35" spans="1:5" x14ac:dyDescent="0.3">
      <c r="A35" s="5" t="s">
        <v>5</v>
      </c>
      <c r="B35" s="3" t="str">
        <f>"ARCHIVE_FLAG - View Archived Messages"</f>
        <v>ARCHIVE_FLAG - View Archived Messages</v>
      </c>
      <c r="C35" s="3" t="str">
        <f>"Char1"</f>
        <v>Char1</v>
      </c>
      <c r="D35" s="4"/>
      <c r="E35" s="3" t="str">
        <f>"Archived"</f>
        <v>Archived</v>
      </c>
    </row>
    <row r="36" spans="1:5" x14ac:dyDescent="0.3">
      <c r="A36" s="3"/>
      <c r="B36" s="3" t="str">
        <f>"BILLING_CAREER - Billing Career"</f>
        <v>BILLING_CAREER - Billing Career</v>
      </c>
      <c r="C36" s="3" t="str">
        <f>"Char4"</f>
        <v>Char4</v>
      </c>
      <c r="D36" s="4"/>
      <c r="E36" s="3" t="str">
        <f>"Bill Car"</f>
        <v>Bill Car</v>
      </c>
    </row>
    <row r="37" spans="1:5" x14ac:dyDescent="0.3">
      <c r="A37" s="3"/>
      <c r="B37" s="3" t="str">
        <f>"BIRTH_COUNTRY - BIRTH_COUNTRY"</f>
        <v>BIRTH_COUNTRY - BIRTH_COUNTRY</v>
      </c>
      <c r="C37" s="3" t="str">
        <f>"Char4"</f>
        <v>Char4</v>
      </c>
      <c r="D37" s="4"/>
      <c r="E37" s="3" t="str">
        <f>"BIRTH_COUNTRY"</f>
        <v>BIRTH_COUNTRY</v>
      </c>
    </row>
    <row r="38" spans="1:5" x14ac:dyDescent="0.3">
      <c r="A38" s="3"/>
      <c r="B38" s="3" t="str">
        <f>"BIRTHDATE - Date of Birth"</f>
        <v>BIRTHDATE - Date of Birth</v>
      </c>
      <c r="C38" s="3" t="str">
        <f>"Date"</f>
        <v>Date</v>
      </c>
      <c r="D38" s="4"/>
      <c r="E38" s="3" t="str">
        <f>"Birthdate"</f>
        <v>Birthdate</v>
      </c>
    </row>
    <row r="39" spans="1:5" x14ac:dyDescent="0.3">
      <c r="A39" s="3"/>
      <c r="B39" s="3" t="str">
        <f>"BIRTHPLACE - Birth Location"</f>
        <v>BIRTHPLACE - Birth Location</v>
      </c>
      <c r="C39" s="3" t="str">
        <f>"Char30"</f>
        <v>Char30</v>
      </c>
      <c r="D39" s="4"/>
      <c r="E39" s="3" t="str">
        <f>"Birthplace"</f>
        <v>Birthplace</v>
      </c>
    </row>
    <row r="40" spans="1:5" x14ac:dyDescent="0.3">
      <c r="A40" s="3"/>
      <c r="B40" s="3" t="str">
        <f>"BIRTHSTATE - Birth State"</f>
        <v>BIRTHSTATE - Birth State</v>
      </c>
      <c r="C40" s="3" t="str">
        <f>"Char6"</f>
        <v>Char6</v>
      </c>
      <c r="D40" s="4"/>
      <c r="E40" s="3" t="str">
        <f>"State"</f>
        <v>State</v>
      </c>
    </row>
    <row r="41" spans="1:5" x14ac:dyDescent="0.3">
      <c r="A41" s="3"/>
      <c r="B41" s="3" t="str">
        <f>"CAMPUS - Campus"</f>
        <v>CAMPUS - Campus</v>
      </c>
      <c r="C41" s="3" t="str">
        <f>"Char5"</f>
        <v>Char5</v>
      </c>
      <c r="D41" s="4"/>
      <c r="E41" s="3" t="str">
        <f>"Campus"</f>
        <v>Campus</v>
      </c>
    </row>
    <row r="42" spans="1:5" x14ac:dyDescent="0.3">
      <c r="A42" s="5" t="s">
        <v>5</v>
      </c>
      <c r="B42" s="3" t="str">
        <f>"CHANGE_FLG - Action"</f>
        <v>CHANGE_FLG - Action</v>
      </c>
      <c r="C42" s="3" t="str">
        <f>"Char1"</f>
        <v>Char1</v>
      </c>
      <c r="D42" s="3" t="str">
        <f>"N"</f>
        <v>N</v>
      </c>
      <c r="E42" s="3" t="str">
        <f>"Action"</f>
        <v>Action</v>
      </c>
    </row>
    <row r="43" spans="1:5" x14ac:dyDescent="0.3">
      <c r="A43" s="3"/>
      <c r="B43" s="3" t="str">
        <f>"CITIZENSHIP_STATUS - Citizenship Status"</f>
        <v>CITIZENSHIP_STATUS - Citizenship Status</v>
      </c>
      <c r="C43" s="3" t="str">
        <f>"Char1"</f>
        <v>Char1</v>
      </c>
      <c r="D43" s="4"/>
      <c r="E43" s="3" t="str">
        <f>"Status"</f>
        <v>Status</v>
      </c>
    </row>
    <row r="44" spans="1:5" x14ac:dyDescent="0.3">
      <c r="A44" s="3"/>
      <c r="B44" s="3" t="str">
        <f>"CITY - City"</f>
        <v>CITY - City</v>
      </c>
      <c r="C44" s="3" t="str">
        <f>"Char30"</f>
        <v>Char30</v>
      </c>
      <c r="D44" s="4"/>
      <c r="E44" s="3" t="str">
        <f>"City"</f>
        <v>City</v>
      </c>
    </row>
    <row r="45" spans="1:5" x14ac:dyDescent="0.3">
      <c r="A45" s="3"/>
      <c r="B45" s="3" t="str">
        <f>"CLASS_RANK_NBR - Class Rank Nbr"</f>
        <v>CLASS_RANK_NBR - Class Rank Nbr</v>
      </c>
      <c r="C45" s="3" t="str">
        <f>"Num5.0"</f>
        <v>Num5.0</v>
      </c>
      <c r="D45" s="4"/>
      <c r="E45" s="3" t="str">
        <f>"Class Rank"</f>
        <v>Class Rank</v>
      </c>
    </row>
    <row r="46" spans="1:5" x14ac:dyDescent="0.3">
      <c r="A46" s="3"/>
      <c r="B46" s="3" t="str">
        <f>"CLASS_RANK_TOT - Class Rank Total"</f>
        <v>CLASS_RANK_TOT - Class Rank Total</v>
      </c>
      <c r="C46" s="3" t="str">
        <f>"Num5.0"</f>
        <v>Num5.0</v>
      </c>
      <c r="D46" s="4"/>
      <c r="E46" s="3" t="str">
        <f>"Of"</f>
        <v>Of</v>
      </c>
    </row>
    <row r="47" spans="1:5" x14ac:dyDescent="0.3">
      <c r="A47" s="3"/>
      <c r="B47" s="3" t="str">
        <f>"COMPLETION_TERM - Completion Term"</f>
        <v>COMPLETION_TERM - Completion Term</v>
      </c>
      <c r="C47" s="3" t="str">
        <f>"Char4"</f>
        <v>Char4</v>
      </c>
      <c r="D47" s="4"/>
      <c r="E47" s="3" t="str">
        <f>"Compl Term"</f>
        <v>Compl Term</v>
      </c>
    </row>
    <row r="48" spans="1:5" x14ac:dyDescent="0.3">
      <c r="A48" s="3"/>
      <c r="B48" s="3" t="str">
        <f>"COUNTRY - Country"</f>
        <v>COUNTRY - Country</v>
      </c>
      <c r="C48" s="3" t="str">
        <f>"Char3"</f>
        <v>Char3</v>
      </c>
      <c r="D48" s="4"/>
      <c r="E48" s="3" t="str">
        <f>"Country"</f>
        <v>Country</v>
      </c>
    </row>
    <row r="49" spans="1:5" x14ac:dyDescent="0.3">
      <c r="A49" s="3"/>
      <c r="B49" s="3" t="str">
        <f>"COUNTRY_DESCR1 - Country Description"</f>
        <v>COUNTRY_DESCR1 - Country Description</v>
      </c>
      <c r="C49" s="3" t="str">
        <f>"Char30"</f>
        <v>Char30</v>
      </c>
      <c r="D49" s="4"/>
      <c r="E49" s="3" t="str">
        <f>"Country"</f>
        <v>Country</v>
      </c>
    </row>
    <row r="50" spans="1:5" x14ac:dyDescent="0.3">
      <c r="A50" s="3"/>
      <c r="B50" s="3" t="str">
        <f>"COUNTY - County"</f>
        <v>COUNTY - County</v>
      </c>
      <c r="C50" s="3" t="str">
        <f>"Char30"</f>
        <v>Char30</v>
      </c>
      <c r="D50" s="4"/>
      <c r="E50" s="3" t="str">
        <f>"County"</f>
        <v>County</v>
      </c>
    </row>
    <row r="51" spans="1:5" x14ac:dyDescent="0.3">
      <c r="A51" s="3"/>
      <c r="B51" s="3" t="str">
        <f>"CUM_GPA - Cumulative GPA"</f>
        <v>CUM_GPA - Cumulative GPA</v>
      </c>
      <c r="C51" s="3" t="str">
        <f>"Num6.3"</f>
        <v>Num6.3</v>
      </c>
      <c r="D51" s="4"/>
      <c r="E51" s="3" t="str">
        <f>"GPA"</f>
        <v>GPA</v>
      </c>
    </row>
    <row r="52" spans="1:5" x14ac:dyDescent="0.3">
      <c r="A52" s="3"/>
      <c r="B52" s="3" t="str">
        <f>"CUM_RESIDENT_TERMS - Cumulative In Residence Terms"</f>
        <v>CUM_RESIDENT_TERMS - Cumulative In Residence Terms</v>
      </c>
      <c r="C52" s="3" t="str">
        <f>"Num4.3"</f>
        <v>Num4.3</v>
      </c>
      <c r="D52" s="4"/>
      <c r="E52" s="3" t="str">
        <f>"Cum Res"</f>
        <v>Cum Res</v>
      </c>
    </row>
    <row r="53" spans="1:5" x14ac:dyDescent="0.3">
      <c r="A53" s="3"/>
      <c r="B53" s="3" t="str">
        <f>"CUR_GPA - Current GPA"</f>
        <v>CUR_GPA - Current GPA</v>
      </c>
      <c r="C53" s="3" t="str">
        <f>"Num6.3"</f>
        <v>Num6.3</v>
      </c>
      <c r="D53" s="4"/>
      <c r="E53" s="3" t="str">
        <f>"GPA"</f>
        <v>GPA</v>
      </c>
    </row>
    <row r="54" spans="1:5" x14ac:dyDescent="0.3">
      <c r="A54" s="3"/>
      <c r="B54" s="3" t="str">
        <f>"CUR_RESIDENT_TERMS - Current In Residence Terms"</f>
        <v>CUR_RESIDENT_TERMS - Current In Residence Terms</v>
      </c>
      <c r="C54" s="3" t="str">
        <f>"Num4.3"</f>
        <v>Num4.3</v>
      </c>
      <c r="D54" s="4"/>
      <c r="E54" s="3" t="str">
        <f>"Cur Res"</f>
        <v>Cur Res</v>
      </c>
    </row>
    <row r="55" spans="1:5" x14ac:dyDescent="0.3">
      <c r="A55" s="3"/>
      <c r="B55" s="3" t="str">
        <f>"DECLARE_DT - Declare Date"</f>
        <v>DECLARE_DT - Declare Date</v>
      </c>
      <c r="C55" s="3" t="str">
        <f>"Date"</f>
        <v>Date</v>
      </c>
      <c r="D55" s="4"/>
      <c r="E55" s="3" t="str">
        <f>"Decl Date"</f>
        <v>Decl Date</v>
      </c>
    </row>
    <row r="56" spans="1:5" x14ac:dyDescent="0.3">
      <c r="A56" s="3"/>
      <c r="B56" s="3" t="str">
        <f>"DEGR_CHKOUT_STAT - Degree Checkout Status"</f>
        <v>DEGR_CHKOUT_STAT - Degree Checkout Status</v>
      </c>
      <c r="C56" s="3" t="str">
        <f>"Char2"</f>
        <v>Char2</v>
      </c>
      <c r="D56" s="3" t="str">
        <f>"N"</f>
        <v>N</v>
      </c>
      <c r="E56" s="3" t="str">
        <f>"ChkoutStat"</f>
        <v>ChkoutStat</v>
      </c>
    </row>
    <row r="57" spans="1:5" x14ac:dyDescent="0.3">
      <c r="A57" s="3"/>
      <c r="B57" s="3" t="str">
        <f>"DEGREE - Degree"</f>
        <v>DEGREE - Degree</v>
      </c>
      <c r="C57" s="3" t="str">
        <f>"Char8"</f>
        <v>Char8</v>
      </c>
      <c r="D57" s="4"/>
      <c r="E57" s="3" t="str">
        <f>"Degree"</f>
        <v>Degree</v>
      </c>
    </row>
    <row r="58" spans="1:5" x14ac:dyDescent="0.3">
      <c r="A58" s="5" t="s">
        <v>5</v>
      </c>
      <c r="B58" s="3" t="str">
        <f>"DELETE_FLAG - Deletion Flag"</f>
        <v>DELETE_FLAG - Deletion Flag</v>
      </c>
      <c r="C58" s="3" t="str">
        <f>"Char1"</f>
        <v>Char1</v>
      </c>
      <c r="D58" s="3" t="str">
        <f>"N"</f>
        <v>N</v>
      </c>
      <c r="E58" s="3" t="str">
        <f>"Delete"</f>
        <v>Delete</v>
      </c>
    </row>
    <row r="59" spans="1:5" x14ac:dyDescent="0.3">
      <c r="A59" s="3"/>
      <c r="B59" s="3" t="str">
        <f>"DT_OF_DEATH - Date of Death"</f>
        <v>DT_OF_DEATH - Date of Death</v>
      </c>
      <c r="C59" s="3" t="str">
        <f>"Date"</f>
        <v>Date</v>
      </c>
      <c r="D59" s="4"/>
      <c r="E59" s="3" t="str">
        <f>"Death Date"</f>
        <v>Death Date</v>
      </c>
    </row>
    <row r="60" spans="1:5" x14ac:dyDescent="0.3">
      <c r="A60" s="3"/>
      <c r="B60" s="3" t="str">
        <f>"EDUCATION_LVL - Education Level"</f>
        <v>EDUCATION_LVL - Education Level</v>
      </c>
      <c r="C60" s="3" t="str">
        <f>"Char2"</f>
        <v>Char2</v>
      </c>
      <c r="D60" s="3" t="str">
        <f>"N"</f>
        <v>N</v>
      </c>
      <c r="E60" s="3" t="str">
        <f>"Education"</f>
        <v>Education</v>
      </c>
    </row>
    <row r="61" spans="1:5" x14ac:dyDescent="0.3">
      <c r="A61" s="3"/>
      <c r="B61" s="3" t="str">
        <f>"EFFECTIVE_TERM - Effective Term"</f>
        <v>EFFECTIVE_TERM - Effective Term</v>
      </c>
      <c r="C61" s="3" t="str">
        <f>"Char4"</f>
        <v>Char4</v>
      </c>
      <c r="D61" s="4"/>
      <c r="E61" s="3" t="str">
        <f>"Effective"</f>
        <v>Effective</v>
      </c>
    </row>
    <row r="62" spans="1:5" x14ac:dyDescent="0.3">
      <c r="A62" s="3"/>
      <c r="B62" s="3" t="str">
        <f>"ELIG_TO_ENROLL - Eligible to Enroll"</f>
        <v>ELIG_TO_ENROLL - Eligible to Enroll</v>
      </c>
      <c r="C62" s="3" t="str">
        <f>"Char1"</f>
        <v>Char1</v>
      </c>
      <c r="D62" s="4"/>
      <c r="E62" s="3" t="str">
        <f>"Elig Enrl"</f>
        <v>Elig Enrl</v>
      </c>
    </row>
    <row r="63" spans="1:5" x14ac:dyDescent="0.3">
      <c r="A63" s="3"/>
      <c r="B63" s="3" t="str">
        <f>"EMAIL_ADDR - Email Address"</f>
        <v>EMAIL_ADDR - Email Address</v>
      </c>
      <c r="C63" s="3" t="str">
        <f>"Char70"</f>
        <v>Char70</v>
      </c>
      <c r="D63" s="4"/>
      <c r="E63" s="3" t="str">
        <f>"Email"</f>
        <v>Email</v>
      </c>
    </row>
    <row r="64" spans="1:5" x14ac:dyDescent="0.3">
      <c r="A64" s="5" t="s">
        <v>5</v>
      </c>
      <c r="B64" s="3" t="str">
        <f>"EMPLID - Empl ID"</f>
        <v>EMPLID - Empl ID</v>
      </c>
      <c r="C64" s="3" t="str">
        <f>"Char11"</f>
        <v>Char11</v>
      </c>
      <c r="D64" s="4"/>
      <c r="E64" s="3" t="str">
        <f>"ID"</f>
        <v>ID</v>
      </c>
    </row>
    <row r="65" spans="1:5" x14ac:dyDescent="0.3">
      <c r="A65" s="3"/>
      <c r="B65" s="3" t="str">
        <f>"END_DATE - End Date"</f>
        <v>END_DATE - End Date</v>
      </c>
      <c r="C65" s="3" t="str">
        <f>"Date"</f>
        <v>Date</v>
      </c>
      <c r="D65" s="4"/>
      <c r="E65" s="3" t="str">
        <f>"End Date"</f>
        <v>End Date</v>
      </c>
    </row>
    <row r="66" spans="1:5" x14ac:dyDescent="0.3">
      <c r="A66" s="3"/>
      <c r="B66" s="3" t="str">
        <f>"ENRL_ON_TRANS_DT - Show Enrollment on Transcript"</f>
        <v>ENRL_ON_TRANS_DT - Show Enrollment on Transcript</v>
      </c>
      <c r="C66" s="3" t="str">
        <f>"Date"</f>
        <v>Date</v>
      </c>
      <c r="D66" s="4"/>
      <c r="E66" s="3" t="str">
        <f>"Enrl Trans"</f>
        <v>Enrl Trans</v>
      </c>
    </row>
    <row r="67" spans="1:5" x14ac:dyDescent="0.3">
      <c r="A67" s="5" t="s">
        <v>5</v>
      </c>
      <c r="B67" s="3" t="str">
        <f>"ENROL_FLAG - Enrolled Flag"</f>
        <v>ENROL_FLAG - Enrolled Flag</v>
      </c>
      <c r="C67" s="3" t="str">
        <f>"Char1"</f>
        <v>Char1</v>
      </c>
      <c r="D67" s="4"/>
      <c r="E67" s="3" t="str">
        <f>"Enrolled"</f>
        <v>Enrolled</v>
      </c>
    </row>
    <row r="68" spans="1:5" x14ac:dyDescent="0.3">
      <c r="A68" s="3"/>
      <c r="B68" s="3" t="str">
        <f>"ETHNIC_CATEGORY - Ethnic Category"</f>
        <v>ETHNIC_CATEGORY - Ethnic Category</v>
      </c>
      <c r="C68" s="3" t="str">
        <f>"Char1"</f>
        <v>Char1</v>
      </c>
      <c r="D68" s="3" t="str">
        <f>"N"</f>
        <v>N</v>
      </c>
      <c r="E68" s="3" t="str">
        <f>"Ethnic Cat"</f>
        <v>Ethnic Cat</v>
      </c>
    </row>
    <row r="69" spans="1:5" x14ac:dyDescent="0.3">
      <c r="A69" s="3"/>
      <c r="B69" s="3" t="str">
        <f>"ETHNIC_GROUP - Ethnic Group"</f>
        <v>ETHNIC_GROUP - Ethnic Group</v>
      </c>
      <c r="C69" s="3" t="str">
        <f>"Char1"</f>
        <v>Char1</v>
      </c>
      <c r="D69" s="3" t="str">
        <f>"N"</f>
        <v>N</v>
      </c>
      <c r="E69" s="3" t="str">
        <f>"Ethnic Grp"</f>
        <v>Ethnic Grp</v>
      </c>
    </row>
    <row r="70" spans="1:5" x14ac:dyDescent="0.3">
      <c r="A70" s="3"/>
      <c r="B70" s="3" t="str">
        <f>"ETHNIC_GRP_CD - Ethnic Group"</f>
        <v>ETHNIC_GRP_CD - Ethnic Group</v>
      </c>
      <c r="C70" s="3" t="str">
        <f>"Char8"</f>
        <v>Char8</v>
      </c>
      <c r="D70" s="4"/>
      <c r="E70" s="3" t="str">
        <f>"Ethnic Grp"</f>
        <v>Ethnic Grp</v>
      </c>
    </row>
    <row r="71" spans="1:5" x14ac:dyDescent="0.3">
      <c r="A71" s="3"/>
      <c r="B71" s="3" t="str">
        <f>"EXP_GRAD_TERM - Expected Graduation Term"</f>
        <v>EXP_GRAD_TERM - Expected Graduation Term</v>
      </c>
      <c r="C71" s="3" t="str">
        <f>"Char4"</f>
        <v>Char4</v>
      </c>
      <c r="D71" s="4"/>
      <c r="E71" s="3" t="str">
        <f>"Exp Grad"</f>
        <v>Exp Grad</v>
      </c>
    </row>
    <row r="72" spans="1:5" x14ac:dyDescent="0.3">
      <c r="A72" s="3"/>
      <c r="B72" s="3" t="str">
        <f>"EXT_ORG_ID - External Org ID"</f>
        <v>EXT_ORG_ID - External Org ID</v>
      </c>
      <c r="C72" s="3" t="str">
        <f>"Char11"</f>
        <v>Char11</v>
      </c>
      <c r="D72" s="4"/>
      <c r="E72" s="3" t="str">
        <f>"Org ID"</f>
        <v>Org ID</v>
      </c>
    </row>
    <row r="73" spans="1:5" x14ac:dyDescent="0.3">
      <c r="A73" s="3"/>
      <c r="B73" s="3" t="str">
        <f>"FA_ELIGIBILITY - Program Eligibility Flag"</f>
        <v>FA_ELIGIBILITY - Program Eligibility Flag</v>
      </c>
      <c r="C73" s="3" t="str">
        <f>"Char1"</f>
        <v>Char1</v>
      </c>
      <c r="D73" s="4"/>
      <c r="E73" s="3" t="str">
        <f>"Eligible"</f>
        <v>Eligible</v>
      </c>
    </row>
    <row r="74" spans="1:5" x14ac:dyDescent="0.3">
      <c r="A74" s="3"/>
      <c r="B74" s="3" t="str">
        <f>"FA_LOAD - Financial Aid Load"</f>
        <v>FA_LOAD - Financial Aid Load</v>
      </c>
      <c r="C74" s="3" t="str">
        <f>"Char1"</f>
        <v>Char1</v>
      </c>
      <c r="D74" s="3" t="str">
        <f>"N"</f>
        <v>N</v>
      </c>
      <c r="E74" s="3" t="str">
        <f>"FA Load"</f>
        <v>FA Load</v>
      </c>
    </row>
    <row r="75" spans="1:5" x14ac:dyDescent="0.3">
      <c r="A75" s="3"/>
      <c r="B75" s="3" t="str">
        <f>"FA_STATS_CALC_DTTM - FA Stats Calc Date Time"</f>
        <v>FA_STATS_CALC_DTTM - FA Stats Calc Date Time</v>
      </c>
      <c r="C75" s="3" t="str">
        <f>"DateTm"</f>
        <v>DateTm</v>
      </c>
      <c r="D75" s="4"/>
      <c r="E75" s="3" t="str">
        <f>"FA DTTM"</f>
        <v>FA DTTM</v>
      </c>
    </row>
    <row r="76" spans="1:5" x14ac:dyDescent="0.3">
      <c r="A76" s="3"/>
      <c r="B76" s="3" t="str">
        <f>"FA_STATS_CALC_REQ - FA Stats Calculation Required"</f>
        <v>FA_STATS_CALC_REQ - FA Stats Calculation Required</v>
      </c>
      <c r="C76" s="3" t="str">
        <f>"Char1"</f>
        <v>Char1</v>
      </c>
      <c r="D76" s="4"/>
      <c r="E76" s="3" t="str">
        <f>"FA Calc"</f>
        <v>FA Calc</v>
      </c>
    </row>
    <row r="77" spans="1:5" x14ac:dyDescent="0.3">
      <c r="A77" s="3"/>
      <c r="B77" s="3" t="str">
        <f>"FIRST_NAME - First Name"</f>
        <v>FIRST_NAME - First Name</v>
      </c>
      <c r="C77" s="3" t="str">
        <f>"Char30"</f>
        <v>Char30</v>
      </c>
      <c r="D77" s="4"/>
      <c r="E77" s="3" t="str">
        <f>"First Name"</f>
        <v>First Name</v>
      </c>
    </row>
    <row r="78" spans="1:5" x14ac:dyDescent="0.3">
      <c r="A78" s="3"/>
      <c r="B78" s="3" t="str">
        <f>"FORM_OF_STUDY - Form of Study"</f>
        <v>FORM_OF_STUDY - Form of Study</v>
      </c>
      <c r="C78" s="3" t="str">
        <f>"Char4"</f>
        <v>Char4</v>
      </c>
      <c r="D78" s="3" t="str">
        <f>"N"</f>
        <v>N</v>
      </c>
      <c r="E78" s="3" t="str">
        <f>"Study Form"</f>
        <v>Study Form</v>
      </c>
    </row>
    <row r="79" spans="1:5" x14ac:dyDescent="0.3">
      <c r="A79" s="3"/>
      <c r="B79" s="3" t="str">
        <f>"FULLY_ENRL_DT - Fully Enrolled Date"</f>
        <v>FULLY_ENRL_DT - Fully Enrolled Date</v>
      </c>
      <c r="C79" s="3" t="str">
        <f>"Date"</f>
        <v>Date</v>
      </c>
      <c r="D79" s="4"/>
      <c r="E79" s="3" t="str">
        <f>"Full Enrl"</f>
        <v>Full Enrl</v>
      </c>
    </row>
    <row r="80" spans="1:5" x14ac:dyDescent="0.3">
      <c r="A80" s="3"/>
      <c r="B80" s="3" t="str">
        <f>"FULLY_GRADED_DT - Fully Graded Date"</f>
        <v>FULLY_GRADED_DT - Fully Graded Date</v>
      </c>
      <c r="C80" s="3" t="str">
        <f>"Date"</f>
        <v>Date</v>
      </c>
      <c r="D80" s="4"/>
      <c r="E80" s="3" t="str">
        <f>"Full Grded"</f>
        <v>Full Grded</v>
      </c>
    </row>
    <row r="81" spans="1:5" x14ac:dyDescent="0.3">
      <c r="A81" s="3"/>
      <c r="B81" s="3" t="str">
        <f>"GRADE_POINTS - Grade Points"</f>
        <v>GRADE_POINTS - Grade Points</v>
      </c>
      <c r="C81" s="3" t="str">
        <f>"Num7.3"</f>
        <v>Num7.3</v>
      </c>
      <c r="D81" s="4"/>
      <c r="E81" s="3" t="str">
        <f>"Grd Points"</f>
        <v>Grd Points</v>
      </c>
    </row>
    <row r="82" spans="1:5" x14ac:dyDescent="0.3">
      <c r="A82" s="3"/>
      <c r="B82" s="3" t="str">
        <f>"GRADE_POINTS_FA - Financial Aid Grade Points"</f>
        <v>GRADE_POINTS_FA - Financial Aid Grade Points</v>
      </c>
      <c r="C82" s="3" t="str">
        <f>"Num7.3"</f>
        <v>Num7.3</v>
      </c>
      <c r="D82" s="4"/>
      <c r="E82" s="3" t="str">
        <f>"FA Grd Pt"</f>
        <v>FA Grd Pt</v>
      </c>
    </row>
    <row r="83" spans="1:5" x14ac:dyDescent="0.3">
      <c r="A83" s="3"/>
      <c r="B83" s="3" t="str">
        <f>"GRADUATION_DT - Graduation Date"</f>
        <v>GRADUATION_DT - Graduation Date</v>
      </c>
      <c r="C83" s="3" t="str">
        <f>"Date"</f>
        <v>Date</v>
      </c>
      <c r="D83" s="4"/>
      <c r="E83" s="3" t="str">
        <f>"Grad Dt"</f>
        <v>Grad Dt</v>
      </c>
    </row>
    <row r="84" spans="1:5" x14ac:dyDescent="0.3">
      <c r="A84" s="3"/>
      <c r="B84" s="3" t="str">
        <f>"HISP_LATINO - Person is Hispanic or Latino"</f>
        <v>HISP_LATINO - Person is Hispanic or Latino</v>
      </c>
      <c r="C84" s="3" t="str">
        <f>"Char1"</f>
        <v>Char1</v>
      </c>
      <c r="D84" s="4"/>
      <c r="E84" s="3" t="str">
        <f>"Hisp or Latin"</f>
        <v>Hisp or Latin</v>
      </c>
    </row>
    <row r="85" spans="1:5" x14ac:dyDescent="0.3">
      <c r="A85" s="5" t="s">
        <v>5</v>
      </c>
      <c r="B85" s="3" t="str">
        <f>"INSTITUTION - Academic Institution"</f>
        <v>INSTITUTION - Academic Institution</v>
      </c>
      <c r="C85" s="3" t="str">
        <f>"Char5"</f>
        <v>Char5</v>
      </c>
      <c r="D85" s="4"/>
      <c r="E85" s="3" t="str">
        <f>"Institution"</f>
        <v>Institution</v>
      </c>
    </row>
    <row r="86" spans="1:5" x14ac:dyDescent="0.3">
      <c r="A86" s="3"/>
      <c r="B86" s="3" t="str">
        <f>"INSTITUTION_DESCR - Institution"</f>
        <v>INSTITUTION_DESCR - Institution</v>
      </c>
      <c r="C86" s="3" t="str">
        <f>"Char30"</f>
        <v>Char30</v>
      </c>
      <c r="D86" s="4"/>
      <c r="E86" s="3" t="str">
        <f>"Institution"</f>
        <v>Institution</v>
      </c>
    </row>
    <row r="87" spans="1:5" x14ac:dyDescent="0.3">
      <c r="A87" s="3"/>
      <c r="B87" s="3" t="str">
        <f>"JOINT_PROG_APPR - Joint Program Approved"</f>
        <v>JOINT_PROG_APPR - Joint Program Approved</v>
      </c>
      <c r="C87" s="3" t="str">
        <f>"Char1"</f>
        <v>Char1</v>
      </c>
      <c r="D87" s="4"/>
      <c r="E87" s="3" t="str">
        <f>"Joint Program"</f>
        <v>Joint Program</v>
      </c>
    </row>
    <row r="88" spans="1:5" x14ac:dyDescent="0.3">
      <c r="A88" s="3"/>
      <c r="B88" s="3" t="str">
        <f>"LAST_DATE_ATTENDED - Last Date of Attendance"</f>
        <v>LAST_DATE_ATTENDED - Last Date of Attendance</v>
      </c>
      <c r="C88" s="3" t="str">
        <f>"Date"</f>
        <v>Date</v>
      </c>
      <c r="D88" s="4"/>
      <c r="E88" s="3" t="str">
        <f>"Last Date"</f>
        <v>Last Date</v>
      </c>
    </row>
    <row r="89" spans="1:5" x14ac:dyDescent="0.3">
      <c r="A89" s="3"/>
      <c r="B89" s="3" t="str">
        <f>"LAST_NAME - Last Name"</f>
        <v>LAST_NAME - Last Name</v>
      </c>
      <c r="C89" s="3" t="str">
        <f>"Char30"</f>
        <v>Char30</v>
      </c>
      <c r="D89" s="4"/>
      <c r="E89" s="3" t="str">
        <f>"Last"</f>
        <v>Last</v>
      </c>
    </row>
    <row r="90" spans="1:5" x14ac:dyDescent="0.3">
      <c r="A90" s="3"/>
      <c r="B90" s="3" t="str">
        <f>"LEVEL_LOAD_RULE - Academic Level Rule"</f>
        <v>LEVEL_LOAD_RULE - Academic Level Rule</v>
      </c>
      <c r="C90" s="3" t="str">
        <f>"Char5"</f>
        <v>Char5</v>
      </c>
      <c r="D90" s="4"/>
      <c r="E90" s="3" t="str">
        <f>"Level Rule"</f>
        <v>Level Rule</v>
      </c>
    </row>
    <row r="91" spans="1:5" x14ac:dyDescent="0.3">
      <c r="A91" s="3"/>
      <c r="B91" s="3" t="str">
        <f>"LOCK_IN_AMT - Lock In Amount"</f>
        <v>LOCK_IN_AMT - Lock In Amount</v>
      </c>
      <c r="C91" s="3" t="str">
        <f>"SNm15.2"</f>
        <v>SNm15.2</v>
      </c>
      <c r="D91" s="4"/>
      <c r="E91" s="3" t="str">
        <f>"Amount"</f>
        <v>Amount</v>
      </c>
    </row>
    <row r="92" spans="1:5" x14ac:dyDescent="0.3">
      <c r="A92" s="3"/>
      <c r="B92" s="3" t="str">
        <f>"LOCK_IN_DT - Lock In Date"</f>
        <v>LOCK_IN_DT - Lock In Date</v>
      </c>
      <c r="C92" s="3" t="str">
        <f>"Date"</f>
        <v>Date</v>
      </c>
      <c r="D92" s="4"/>
      <c r="E92" s="3" t="str">
        <f>"Date"</f>
        <v>Date</v>
      </c>
    </row>
    <row r="93" spans="1:5" x14ac:dyDescent="0.3">
      <c r="A93" s="3"/>
      <c r="B93" s="3" t="str">
        <f>"MAR_STATUS - Marital Status"</f>
        <v>MAR_STATUS - Marital Status</v>
      </c>
      <c r="C93" s="3" t="str">
        <f>"Char1"</f>
        <v>Char1</v>
      </c>
      <c r="D93" s="3" t="str">
        <f>"N"</f>
        <v>N</v>
      </c>
      <c r="E93" s="3" t="str">
        <f>"Mar Status"</f>
        <v>Mar Status</v>
      </c>
    </row>
    <row r="94" spans="1:5" x14ac:dyDescent="0.3">
      <c r="A94" s="3"/>
      <c r="B94" s="3" t="str">
        <f>"MAR_STATUS_DT - Marital Status Date"</f>
        <v>MAR_STATUS_DT - Marital Status Date</v>
      </c>
      <c r="C94" s="3" t="str">
        <f>"Date"</f>
        <v>Date</v>
      </c>
      <c r="D94" s="4"/>
      <c r="E94" s="3" t="str">
        <f>"Mar StatDt"</f>
        <v>Mar StatDt</v>
      </c>
    </row>
    <row r="95" spans="1:5" x14ac:dyDescent="0.3">
      <c r="A95" s="3"/>
      <c r="B95" s="3" t="str">
        <f>"MAX_AUDIT_UNIT - Max Audit Units"</f>
        <v>MAX_AUDIT_UNIT - Max Audit Units</v>
      </c>
      <c r="C95" s="3" t="str">
        <f>"Num4.2"</f>
        <v>Num4.2</v>
      </c>
      <c r="D95" s="4"/>
      <c r="E95" s="3" t="str">
        <f>"Max Audit"</f>
        <v>Max Audit</v>
      </c>
    </row>
    <row r="96" spans="1:5" x14ac:dyDescent="0.3">
      <c r="A96" s="3"/>
      <c r="B96" s="3" t="str">
        <f>"MAX_CRSE_COUNT - Max Total Courses"</f>
        <v>MAX_CRSE_COUNT - Max Total Courses</v>
      </c>
      <c r="C96" s="3" t="str">
        <f>"Num3.0"</f>
        <v>Num3.0</v>
      </c>
      <c r="D96" s="4"/>
      <c r="E96" s="3" t="str">
        <f>"Total Crse"</f>
        <v>Total Crse</v>
      </c>
    </row>
    <row r="97" spans="1:5" x14ac:dyDescent="0.3">
      <c r="A97" s="3"/>
      <c r="B97" s="3" t="str">
        <f>"MAX_NOGPA_UNIT - Max No GPA Units"</f>
        <v>MAX_NOGPA_UNIT - Max No GPA Units</v>
      </c>
      <c r="C97" s="3" t="str">
        <f>"Num4.2"</f>
        <v>Num4.2</v>
      </c>
      <c r="D97" s="4"/>
      <c r="E97" s="3" t="str">
        <f>"Max Grd Pt"</f>
        <v>Max Grd Pt</v>
      </c>
    </row>
    <row r="98" spans="1:5" x14ac:dyDescent="0.3">
      <c r="A98" s="3"/>
      <c r="B98" s="3" t="str">
        <f>"MAX_TOTAL_UNIT - Max Total Units"</f>
        <v>MAX_TOTAL_UNIT - Max Total Units</v>
      </c>
      <c r="C98" s="3" t="str">
        <f>"Num4.2"</f>
        <v>Num4.2</v>
      </c>
      <c r="D98" s="4"/>
      <c r="E98" s="3" t="str">
        <f>"Max Units"</f>
        <v>Max Units</v>
      </c>
    </row>
    <row r="99" spans="1:5" x14ac:dyDescent="0.3">
      <c r="A99" s="3"/>
      <c r="B99" s="3" t="str">
        <f>"MAX_WAIT_UNIT - Max Wait List Units"</f>
        <v>MAX_WAIT_UNIT - Max Wait List Units</v>
      </c>
      <c r="C99" s="3" t="str">
        <f>"Num4.2"</f>
        <v>Num4.2</v>
      </c>
      <c r="D99" s="4"/>
      <c r="E99" s="3" t="str">
        <f>"Max Wait"</f>
        <v>Max Wait</v>
      </c>
    </row>
    <row r="100" spans="1:5" x14ac:dyDescent="0.3">
      <c r="A100" s="3"/>
      <c r="B100" s="3" t="str">
        <f>"MIDDLE_NAME - Middle Name"</f>
        <v>MIDDLE_NAME - Middle Name</v>
      </c>
      <c r="C100" s="3" t="str">
        <f>"Char30"</f>
        <v>Char30</v>
      </c>
      <c r="D100" s="4"/>
      <c r="E100" s="3" t="str">
        <f>"Middle"</f>
        <v>Middle</v>
      </c>
    </row>
    <row r="101" spans="1:5" x14ac:dyDescent="0.3">
      <c r="A101" s="3"/>
      <c r="B101" s="3" t="str">
        <f>"MIN_TOTAL_UNIT - Min Total Units"</f>
        <v>MIN_TOTAL_UNIT - Min Total Units</v>
      </c>
      <c r="C101" s="3" t="str">
        <f>"Num4.2"</f>
        <v>Num4.2</v>
      </c>
      <c r="D101" s="4"/>
      <c r="E101" s="3" t="str">
        <f>"Min Units"</f>
        <v>Min Units</v>
      </c>
    </row>
    <row r="102" spans="1:5" x14ac:dyDescent="0.3">
      <c r="A102" s="3"/>
      <c r="B102" s="3" t="str">
        <f>"NAME - Name"</f>
        <v>NAME - Name</v>
      </c>
      <c r="C102" s="3" t="str">
        <f>"Char50"</f>
        <v>Char50</v>
      </c>
      <c r="D102" s="4"/>
      <c r="E102" s="3" t="str">
        <f>"Name"</f>
        <v>Name</v>
      </c>
    </row>
    <row r="103" spans="1:5" x14ac:dyDescent="0.3">
      <c r="A103" s="3"/>
      <c r="B103" s="3" t="str">
        <f>"NAME_PREFIX - Name Prefix"</f>
        <v>NAME_PREFIX - Name Prefix</v>
      </c>
      <c r="C103" s="3" t="str">
        <f>"Char4"</f>
        <v>Char4</v>
      </c>
      <c r="D103" s="4"/>
      <c r="E103" s="3" t="str">
        <f>"Prefix"</f>
        <v>Prefix</v>
      </c>
    </row>
    <row r="104" spans="1:5" x14ac:dyDescent="0.3">
      <c r="A104" s="3"/>
      <c r="B104" s="3" t="str">
        <f>"NAME_SUFFIX - Name Suffix"</f>
        <v>NAME_SUFFIX - Name Suffix</v>
      </c>
      <c r="C104" s="3" t="str">
        <f>"Char15"</f>
        <v>Char15</v>
      </c>
      <c r="D104" s="4"/>
      <c r="E104" s="3" t="str">
        <f>"Suffix"</f>
        <v>Suffix</v>
      </c>
    </row>
    <row r="105" spans="1:5" x14ac:dyDescent="0.3">
      <c r="A105" s="3"/>
      <c r="B105" s="3" t="str">
        <f>"NSLDS_LOAN_YEAR - NSLDS Loan Year"</f>
        <v>NSLDS_LOAN_YEAR - NSLDS Loan Year</v>
      </c>
      <c r="C105" s="3" t="str">
        <f>"Char1"</f>
        <v>Char1</v>
      </c>
      <c r="D105" s="3" t="str">
        <f>"N"</f>
        <v>N</v>
      </c>
      <c r="E105" s="3" t="str">
        <f>"Loan Year"</f>
        <v>Loan Year</v>
      </c>
    </row>
    <row r="106" spans="1:5" x14ac:dyDescent="0.3">
      <c r="A106" s="3"/>
      <c r="B106" s="3" t="str">
        <f>"OVRD_ACAD_LVL_ALL - Override All Academic Levels"</f>
        <v>OVRD_ACAD_LVL_ALL - Override All Academic Levels</v>
      </c>
      <c r="C106" s="3" t="str">
        <f>"Char1"</f>
        <v>Char1</v>
      </c>
      <c r="D106" s="4"/>
      <c r="E106" s="3" t="str">
        <f>"Ovrd Lvls"</f>
        <v>Ovrd Lvls</v>
      </c>
    </row>
    <row r="107" spans="1:5" x14ac:dyDescent="0.3">
      <c r="A107" s="3"/>
      <c r="B107" s="3" t="str">
        <f>"OVRD_ACAD_LVL_PROJ - Override Projected Level"</f>
        <v>OVRD_ACAD_LVL_PROJ - Override Projected Level</v>
      </c>
      <c r="C107" s="3" t="str">
        <f>"Char1"</f>
        <v>Char1</v>
      </c>
      <c r="D107" s="4"/>
      <c r="E107" s="3" t="str">
        <f>"Ovrd Level"</f>
        <v>Ovrd Level</v>
      </c>
    </row>
    <row r="108" spans="1:5" x14ac:dyDescent="0.3">
      <c r="A108" s="3"/>
      <c r="B108" s="3" t="str">
        <f>"OVRD_BILL_UNITS - Override Billing Units"</f>
        <v>OVRD_BILL_UNITS - Override Billing Units</v>
      </c>
      <c r="C108" s="3" t="str">
        <f>"Char1"</f>
        <v>Char1</v>
      </c>
      <c r="D108" s="4"/>
      <c r="E108" s="3" t="str">
        <f>"Ovrd Bill"</f>
        <v>Ovrd Bill</v>
      </c>
    </row>
    <row r="109" spans="1:5" x14ac:dyDescent="0.3">
      <c r="A109" s="3"/>
      <c r="B109" s="3" t="str">
        <f>"OVRD_INIT_ADD_FEE - Override Initial Add Fees"</f>
        <v>OVRD_INIT_ADD_FEE - Override Initial Add Fees</v>
      </c>
      <c r="C109" s="3" t="str">
        <f>"Char1"</f>
        <v>Char1</v>
      </c>
      <c r="D109" s="4"/>
      <c r="E109" s="3" t="str">
        <f>"Override Fee"</f>
        <v>Override Fee</v>
      </c>
    </row>
    <row r="110" spans="1:5" x14ac:dyDescent="0.3">
      <c r="A110" s="3"/>
      <c r="B110" s="3" t="str">
        <f>"OVRD_INIT_ENR_FEE - Override Initial Enroll Fee"</f>
        <v>OVRD_INIT_ENR_FEE - Override Initial Enroll Fee</v>
      </c>
      <c r="C110" s="3" t="str">
        <f>"Char1"</f>
        <v>Char1</v>
      </c>
      <c r="D110" s="4"/>
      <c r="E110" s="3" t="str">
        <f>"Override Fee"</f>
        <v>Override Fee</v>
      </c>
    </row>
    <row r="111" spans="1:5" x14ac:dyDescent="0.3">
      <c r="A111" s="3"/>
      <c r="B111" s="3" t="str">
        <f>"OVRD_MAX_UNITS - Override Maximum Units"</f>
        <v>OVRD_MAX_UNITS - Override Maximum Units</v>
      </c>
      <c r="C111" s="3" t="str">
        <f>"Char1"</f>
        <v>Char1</v>
      </c>
      <c r="D111" s="4"/>
      <c r="E111" s="3" t="str">
        <f>"Ovrd Units"</f>
        <v>Ovrd Units</v>
      </c>
    </row>
    <row r="112" spans="1:5" x14ac:dyDescent="0.3">
      <c r="A112" s="3"/>
      <c r="B112" s="3" t="str">
        <f>"OVRD_TUIT_GROUP - Override Tuition Group"</f>
        <v>OVRD_TUIT_GROUP - Override Tuition Group</v>
      </c>
      <c r="C112" s="3" t="str">
        <f>"Char10"</f>
        <v>Char10</v>
      </c>
      <c r="D112" s="4"/>
      <c r="E112" s="3" t="str">
        <f>"Ov Tuit Gp"</f>
        <v>Ov Tuit Gp</v>
      </c>
    </row>
    <row r="113" spans="1:5" x14ac:dyDescent="0.3">
      <c r="A113" s="3"/>
      <c r="B113" s="3" t="str">
        <f>"OVRD_WDRW_SCHED - Override Withdrawal Schedule"</f>
        <v>OVRD_WDRW_SCHED - Override Withdrawal Schedule</v>
      </c>
      <c r="C113" s="3" t="str">
        <f>"Char8"</f>
        <v>Char8</v>
      </c>
      <c r="D113" s="4"/>
      <c r="E113" s="3" t="str">
        <f>"Ov Wd Schd"</f>
        <v>Ov Wd Schd</v>
      </c>
    </row>
    <row r="114" spans="1:5" x14ac:dyDescent="0.3">
      <c r="A114" s="3"/>
      <c r="B114" s="3" t="str">
        <f>"PHONE - Telephone"</f>
        <v>PHONE - Telephone</v>
      </c>
      <c r="C114" s="3" t="str">
        <f>"Char24"</f>
        <v>Char24</v>
      </c>
      <c r="D114" s="4"/>
      <c r="E114" s="3" t="str">
        <f>"Phone"</f>
        <v>Phone</v>
      </c>
    </row>
    <row r="115" spans="1:5" x14ac:dyDescent="0.3">
      <c r="A115" s="3"/>
      <c r="B115" s="3" t="str">
        <f>"PIN_NUM - PIN Number"</f>
        <v>PIN_NUM - PIN Number</v>
      </c>
      <c r="C115" s="3" t="str">
        <f>"Num8.0"</f>
        <v>Num8.0</v>
      </c>
      <c r="D115" s="4"/>
      <c r="E115" s="3" t="str">
        <f>"PIN Number"</f>
        <v>PIN Number</v>
      </c>
    </row>
    <row r="116" spans="1:5" x14ac:dyDescent="0.3">
      <c r="A116" s="3"/>
      <c r="B116" s="3" t="str">
        <f>"PLAN_SEQUENCE - Plan Sequence"</f>
        <v>PLAN_SEQUENCE - Plan Sequence</v>
      </c>
      <c r="C116" s="3" t="str">
        <f>"Num2.0"</f>
        <v>Num2.0</v>
      </c>
      <c r="D116" s="4"/>
      <c r="E116" s="3" t="str">
        <f>"Plan Seq"</f>
        <v>Plan Seq</v>
      </c>
    </row>
    <row r="117" spans="1:5" x14ac:dyDescent="0.3">
      <c r="A117" s="3"/>
      <c r="B117" s="3" t="str">
        <f>"POSTAL - Postal Code"</f>
        <v>POSTAL - Postal Code</v>
      </c>
      <c r="C117" s="3" t="str">
        <f>"Char12"</f>
        <v>Char12</v>
      </c>
      <c r="D117" s="4"/>
      <c r="E117" s="3" t="str">
        <f>"Postal"</f>
        <v>Postal</v>
      </c>
    </row>
    <row r="118" spans="1:5" x14ac:dyDescent="0.3">
      <c r="A118" s="3"/>
      <c r="B118" s="3" t="str">
        <f>"PRO_RATA_ELIGIBLE - Pro-Rata Eligible"</f>
        <v>PRO_RATA_ELIGIBLE - Pro-Rata Eligible</v>
      </c>
      <c r="C118" s="3" t="str">
        <f>"Char1"</f>
        <v>Char1</v>
      </c>
      <c r="D118" s="4"/>
      <c r="E118" s="3" t="str">
        <f>"Eligible"</f>
        <v>Eligible</v>
      </c>
    </row>
    <row r="119" spans="1:5" x14ac:dyDescent="0.3">
      <c r="A119" s="3"/>
      <c r="B119" s="3" t="str">
        <f>"PROG_ACTION - Program Action"</f>
        <v>PROG_ACTION - Program Action</v>
      </c>
      <c r="C119" s="3" t="str">
        <f>"Char4"</f>
        <v>Char4</v>
      </c>
      <c r="D119" s="3" t="str">
        <f>"N"</f>
        <v>N</v>
      </c>
      <c r="E119" s="3" t="str">
        <f>"Prog Actn"</f>
        <v>Prog Actn</v>
      </c>
    </row>
    <row r="120" spans="1:5" x14ac:dyDescent="0.3">
      <c r="A120" s="3"/>
      <c r="B120" s="3" t="str">
        <f>"PROG_REASON - Action Reason"</f>
        <v>PROG_REASON - Action Reason</v>
      </c>
      <c r="C120" s="3" t="str">
        <f>"Char4"</f>
        <v>Char4</v>
      </c>
      <c r="D120" s="4"/>
      <c r="E120" s="3" t="str">
        <f>"Action Rsn"</f>
        <v>Action Rsn</v>
      </c>
    </row>
    <row r="121" spans="1:5" x14ac:dyDescent="0.3">
      <c r="A121" s="3"/>
      <c r="B121" s="3" t="str">
        <f>"PROG_STATUS - Academic Program Status"</f>
        <v>PROG_STATUS - Academic Program Status</v>
      </c>
      <c r="C121" s="3" t="str">
        <f>"Char4"</f>
        <v>Char4</v>
      </c>
      <c r="D121" s="3" t="str">
        <f>"N"</f>
        <v>N</v>
      </c>
      <c r="E121" s="3" t="str">
        <f>"Status"</f>
        <v>Status</v>
      </c>
    </row>
    <row r="122" spans="1:5" x14ac:dyDescent="0.3">
      <c r="A122" s="3"/>
      <c r="B122" s="3" t="str">
        <f>"PROJ_BILL_UNT - Projected Bill Units"</f>
        <v>PROJ_BILL_UNT - Projected Bill Units</v>
      </c>
      <c r="C122" s="3" t="str">
        <f>"Num3.0"</f>
        <v>Num3.0</v>
      </c>
      <c r="D122" s="4"/>
      <c r="E122" s="3" t="str">
        <f>"Bill Units"</f>
        <v>Bill Units</v>
      </c>
    </row>
    <row r="123" spans="1:5" x14ac:dyDescent="0.3">
      <c r="A123" s="3"/>
      <c r="B123" s="3" t="str">
        <f>"REFUND_PCT - Refund Percentage"</f>
        <v>REFUND_PCT - Refund Percentage</v>
      </c>
      <c r="C123" s="3" t="str">
        <f>"Num4.2"</f>
        <v>Num4.2</v>
      </c>
      <c r="D123" s="4"/>
      <c r="E123" s="3" t="str">
        <f>"Refund %"</f>
        <v>Refund %</v>
      </c>
    </row>
    <row r="124" spans="1:5" x14ac:dyDescent="0.3">
      <c r="A124" s="3"/>
      <c r="B124" s="3" t="str">
        <f>"REFUND_SCHEME - Refund Scheme"</f>
        <v>REFUND_SCHEME - Refund Scheme</v>
      </c>
      <c r="C124" s="3" t="str">
        <f>"Char8"</f>
        <v>Char8</v>
      </c>
      <c r="D124" s="4"/>
      <c r="E124" s="3" t="str">
        <f>"Scheme"</f>
        <v>Scheme</v>
      </c>
    </row>
    <row r="125" spans="1:5" x14ac:dyDescent="0.3">
      <c r="A125" s="3"/>
      <c r="B125" s="3" t="str">
        <f>"REG_CARD_DATE - Registration Card Date"</f>
        <v>REG_CARD_DATE - Registration Card Date</v>
      </c>
      <c r="C125" s="3" t="str">
        <f>"Date"</f>
        <v>Date</v>
      </c>
      <c r="D125" s="4"/>
      <c r="E125" s="3" t="str">
        <f>"Reg Card"</f>
        <v>Reg Card</v>
      </c>
    </row>
    <row r="126" spans="1:5" x14ac:dyDescent="0.3">
      <c r="A126" s="3"/>
      <c r="B126" s="3" t="str">
        <f>"REGISTERED - Registered"</f>
        <v>REGISTERED - Registered</v>
      </c>
      <c r="C126" s="3" t="str">
        <f>"Char1"</f>
        <v>Char1</v>
      </c>
      <c r="D126" s="3" t="str">
        <f>"N"</f>
        <v>N</v>
      </c>
      <c r="E126" s="3" t="str">
        <f>"Registered"</f>
        <v>Registered</v>
      </c>
    </row>
    <row r="127" spans="1:5" x14ac:dyDescent="0.3">
      <c r="A127" s="3"/>
      <c r="B127" s="3" t="str">
        <f>"REQ_TERM - Requirement Term"</f>
        <v>REQ_TERM - Requirement Term</v>
      </c>
      <c r="C127" s="3" t="str">
        <f>"Char4"</f>
        <v>Char4</v>
      </c>
      <c r="D127" s="4"/>
      <c r="E127" s="3" t="str">
        <f>"Req Term"</f>
        <v>Req Term</v>
      </c>
    </row>
    <row r="128" spans="1:5" x14ac:dyDescent="0.3">
      <c r="A128" s="3"/>
      <c r="B128" s="3" t="str">
        <f>"RESET_CUM_STATS - Reset Cum Stats at Term Start"</f>
        <v>RESET_CUM_STATS - Reset Cum Stats at Term Start</v>
      </c>
      <c r="C128" s="3" t="str">
        <f>"Char1"</f>
        <v>Char1</v>
      </c>
      <c r="D128" s="4"/>
      <c r="E128" s="3" t="str">
        <f>"Cum Reset"</f>
        <v>Cum Reset</v>
      </c>
    </row>
    <row r="129" spans="1:5" x14ac:dyDescent="0.3">
      <c r="A129" s="3"/>
      <c r="B129" s="3" t="str">
        <f>"RESIDENCY - Tuition Residency"</f>
        <v>RESIDENCY - Tuition Residency</v>
      </c>
      <c r="C129" s="3" t="str">
        <f>"Char5"</f>
        <v>Char5</v>
      </c>
      <c r="D129" s="4"/>
      <c r="E129" s="3" t="str">
        <f>"Tuition Resid"</f>
        <v>Tuition Resid</v>
      </c>
    </row>
    <row r="130" spans="1:5" x14ac:dyDescent="0.3">
      <c r="A130" s="3"/>
      <c r="B130" s="3" t="str">
        <f>"RESIDENCY_DT - Residency Date"</f>
        <v>RESIDENCY_DT - Residency Date</v>
      </c>
      <c r="C130" s="3" t="str">
        <f>"Date"</f>
        <v>Date</v>
      </c>
      <c r="D130" s="4"/>
      <c r="E130" s="3" t="str">
        <f>"Res Date"</f>
        <v>Res Date</v>
      </c>
    </row>
    <row r="131" spans="1:5" x14ac:dyDescent="0.3">
      <c r="A131" s="3"/>
      <c r="B131" s="3" t="str">
        <f>"RESPONSE_DT - Response Date"</f>
        <v>RESPONSE_DT - Response Date</v>
      </c>
      <c r="C131" s="3" t="str">
        <f>"Date"</f>
        <v>Date</v>
      </c>
      <c r="D131" s="4"/>
      <c r="E131" s="3" t="str">
        <f>"Date"</f>
        <v>Date</v>
      </c>
    </row>
    <row r="132" spans="1:5" x14ac:dyDescent="0.3">
      <c r="A132" s="3"/>
      <c r="B132" s="3" t="str">
        <f>"RESPONSE_REASON - Response Reason"</f>
        <v>RESPONSE_REASON - Response Reason</v>
      </c>
      <c r="C132" s="3" t="str">
        <f>"Char4"</f>
        <v>Char4</v>
      </c>
      <c r="D132" s="4"/>
      <c r="E132" s="3" t="str">
        <f>"Reason"</f>
        <v>Reason</v>
      </c>
    </row>
    <row r="133" spans="1:5" x14ac:dyDescent="0.3">
      <c r="A133" s="3"/>
      <c r="B133" s="3" t="str">
        <f>"ROW_CHECK - ROW CHECK"</f>
        <v>ROW_CHECK - ROW CHECK</v>
      </c>
      <c r="C133" s="3" t="str">
        <f>"Char1"</f>
        <v>Char1</v>
      </c>
      <c r="D133" s="4"/>
      <c r="E133" s="3" t="str">
        <f>"ROW CHECK"</f>
        <v>ROW CHECK</v>
      </c>
    </row>
    <row r="134" spans="1:5" x14ac:dyDescent="0.3">
      <c r="A134" s="3"/>
      <c r="B134" s="3" t="str">
        <f>"SEL_GROUP - Tuition Group"</f>
        <v>SEL_GROUP - Tuition Group</v>
      </c>
      <c r="C134" s="3" t="str">
        <f>"Char10"</f>
        <v>Char10</v>
      </c>
      <c r="D134" s="4"/>
      <c r="E134" s="3" t="str">
        <f>"Group"</f>
        <v>Group</v>
      </c>
    </row>
    <row r="135" spans="1:5" x14ac:dyDescent="0.3">
      <c r="A135" s="3"/>
      <c r="B135" s="3" t="str">
        <f>"SEX - Gender"</f>
        <v>SEX - Gender</v>
      </c>
      <c r="C135" s="3" t="str">
        <f>"Char1"</f>
        <v>Char1</v>
      </c>
      <c r="D135" s="3" t="str">
        <f>"N"</f>
        <v>N</v>
      </c>
      <c r="E135" s="3" t="str">
        <f>"Sex"</f>
        <v>Sex</v>
      </c>
    </row>
    <row r="136" spans="1:5" x14ac:dyDescent="0.3">
      <c r="A136" s="3"/>
      <c r="B136" s="3" t="str">
        <f>"SSR_ACTIVATION_DT - Term Activation Date"</f>
        <v>SSR_ACTIVATION_DT - Term Activation Date</v>
      </c>
      <c r="C136" s="3" t="str">
        <f>"Date"</f>
        <v>Date</v>
      </c>
      <c r="D136" s="4"/>
      <c r="E136" s="3" t="str">
        <f>"Activation Date"</f>
        <v>Activation Date</v>
      </c>
    </row>
    <row r="137" spans="1:5" x14ac:dyDescent="0.3">
      <c r="A137" s="3"/>
      <c r="B137" s="3" t="str">
        <f>"START_DATE - Start Date for Gen Standing PO"</f>
        <v>START_DATE - Start Date for Gen Standing PO</v>
      </c>
      <c r="C137" s="3" t="str">
        <f>"Date"</f>
        <v>Date</v>
      </c>
      <c r="D137" s="4"/>
      <c r="E137" s="3" t="str">
        <f>"Start Date"</f>
        <v>Start Date</v>
      </c>
    </row>
    <row r="138" spans="1:5" x14ac:dyDescent="0.3">
      <c r="A138" s="3"/>
      <c r="B138" s="3" t="str">
        <f>"STATE - State"</f>
        <v>STATE - State</v>
      </c>
      <c r="C138" s="3" t="str">
        <f>"Char6"</f>
        <v>Char6</v>
      </c>
      <c r="D138" s="4"/>
      <c r="E138" s="3" t="str">
        <f>"State"</f>
        <v>State</v>
      </c>
    </row>
    <row r="139" spans="1:5" x14ac:dyDescent="0.3">
      <c r="A139" s="3"/>
      <c r="B139" s="3" t="str">
        <f>"STATE_DESCR1 - State Description"</f>
        <v>STATE_DESCR1 - State Description</v>
      </c>
      <c r="C139" s="3" t="str">
        <f>"Char30"</f>
        <v>Char30</v>
      </c>
      <c r="D139" s="4"/>
      <c r="E139" s="3" t="str">
        <f>"State"</f>
        <v>State</v>
      </c>
    </row>
    <row r="140" spans="1:5" x14ac:dyDescent="0.3">
      <c r="A140" s="3"/>
      <c r="B140" s="3" t="str">
        <f>"STATS_ON_TRANS_DT - Show Statistics on Transcript"</f>
        <v>STATS_ON_TRANS_DT - Show Statistics on Transcript</v>
      </c>
      <c r="C140" s="3" t="str">
        <f>"Date"</f>
        <v>Date</v>
      </c>
      <c r="D140" s="4"/>
      <c r="E140" s="3" t="str">
        <f>"Stat Trans"</f>
        <v>Stat Trans</v>
      </c>
    </row>
    <row r="141" spans="1:5" x14ac:dyDescent="0.3">
      <c r="A141" s="5" t="s">
        <v>5</v>
      </c>
      <c r="B141" s="3" t="str">
        <f>"STDNT_CAR_NBR - Student Career Nbr"</f>
        <v>STDNT_CAR_NBR - Student Career Nbr</v>
      </c>
      <c r="C141" s="3" t="str">
        <f>"Num3.0"</f>
        <v>Num3.0</v>
      </c>
      <c r="D141" s="4"/>
      <c r="E141" s="3" t="str">
        <f>"Career Nbr"</f>
        <v>Career Nbr</v>
      </c>
    </row>
    <row r="142" spans="1:5" x14ac:dyDescent="0.3">
      <c r="A142" s="3"/>
      <c r="B142" s="3" t="str">
        <f>"STDNT_DEGR - Student Degree Nbr"</f>
        <v>STDNT_DEGR - Student Degree Nbr</v>
      </c>
      <c r="C142" s="3" t="str">
        <f>"Char2"</f>
        <v>Char2</v>
      </c>
      <c r="D142" s="4"/>
      <c r="E142" s="3" t="str">
        <f>"Degree Nbr"</f>
        <v>Degree Nbr</v>
      </c>
    </row>
    <row r="143" spans="1:5" x14ac:dyDescent="0.3">
      <c r="A143" s="5" t="s">
        <v>5</v>
      </c>
      <c r="B143" s="3" t="str">
        <f>"STRM - Term"</f>
        <v>STRM - Term</v>
      </c>
      <c r="C143" s="3" t="str">
        <f>"Char4"</f>
        <v>Char4</v>
      </c>
      <c r="D143" s="4"/>
      <c r="E143" s="3" t="str">
        <f>"Term"</f>
        <v>Term</v>
      </c>
    </row>
    <row r="144" spans="1:5" x14ac:dyDescent="0.3">
      <c r="A144" s="3"/>
      <c r="B144" s="3" t="str">
        <f>"STUDY_AGREEMENT - Study Agreement"</f>
        <v>STUDY_AGREEMENT - Study Agreement</v>
      </c>
      <c r="C144" s="3" t="str">
        <f>"Char10"</f>
        <v>Char10</v>
      </c>
      <c r="D144" s="4"/>
      <c r="E144" s="3" t="str">
        <f>"Agreement"</f>
        <v>Agreement</v>
      </c>
    </row>
    <row r="145" spans="1:5" x14ac:dyDescent="0.3">
      <c r="A145" s="3"/>
      <c r="B145" s="3" t="str">
        <f>"TC_UNITS_ADJUST - TC Units Adjustment"</f>
        <v>TC_UNITS_ADJUST - TC Units Adjustment</v>
      </c>
      <c r="C145" s="3" t="str">
        <f>"Num6.3"</f>
        <v>Num6.3</v>
      </c>
      <c r="D145" s="4"/>
      <c r="E145" s="3" t="str">
        <f>"TC Units Adjust"</f>
        <v>TC Units Adjust</v>
      </c>
    </row>
    <row r="146" spans="1:5" x14ac:dyDescent="0.3">
      <c r="A146" s="3"/>
      <c r="B146" s="3" t="str">
        <f>"TERM_TYPE - Term Unit Type"</f>
        <v>TERM_TYPE - Term Unit Type</v>
      </c>
      <c r="C146" s="3" t="str">
        <f>"Char1"</f>
        <v>Char1</v>
      </c>
      <c r="D146" s="3" t="str">
        <f>"N"</f>
        <v>N</v>
      </c>
      <c r="E146" s="3" t="str">
        <f>"Term Type"</f>
        <v>Term Type</v>
      </c>
    </row>
    <row r="147" spans="1:5" x14ac:dyDescent="0.3">
      <c r="A147" s="3"/>
      <c r="B147" s="3" t="str">
        <f>"TOT_AUDIT - Total Audited"</f>
        <v>TOT_AUDIT - Total Audited</v>
      </c>
      <c r="C147" s="3" t="str">
        <f>"Num6.3"</f>
        <v>Num6.3</v>
      </c>
      <c r="D147" s="4"/>
      <c r="E147" s="3" t="str">
        <f>"Audit"</f>
        <v>Audit</v>
      </c>
    </row>
    <row r="148" spans="1:5" x14ac:dyDescent="0.3">
      <c r="A148" s="3"/>
      <c r="B148" s="3" t="str">
        <f>"TOT_CUMULATIVE - Total Cumulative Units"</f>
        <v>TOT_CUMULATIVE - Total Cumulative Units</v>
      </c>
      <c r="C148" s="3" t="str">
        <f>"Num6.3"</f>
        <v>Num6.3</v>
      </c>
      <c r="D148" s="4"/>
      <c r="E148" s="3" t="str">
        <f>"Total"</f>
        <v>Total</v>
      </c>
    </row>
    <row r="149" spans="1:5" x14ac:dyDescent="0.3">
      <c r="A149" s="3"/>
      <c r="B149" s="3" t="str">
        <f>"TOT_GRADE_POINTS - Total Grade Points"</f>
        <v>TOT_GRADE_POINTS - Total Grade Points</v>
      </c>
      <c r="C149" s="3" t="str">
        <f>"Num7.3"</f>
        <v>Num7.3</v>
      </c>
      <c r="D149" s="4"/>
      <c r="E149" s="3" t="str">
        <f>"Grade Points"</f>
        <v>Grade Points</v>
      </c>
    </row>
    <row r="150" spans="1:5" x14ac:dyDescent="0.3">
      <c r="A150" s="3"/>
      <c r="B150" s="3" t="str">
        <f>"TOT_GRD_POINTS_FA - Total Fin Aid Grade Points"</f>
        <v>TOT_GRD_POINTS_FA - Total Fin Aid Grade Points</v>
      </c>
      <c r="C150" s="3" t="str">
        <f>"Num7.3"</f>
        <v>Num7.3</v>
      </c>
      <c r="D150" s="4"/>
      <c r="E150" s="3" t="str">
        <f>"Tot FA Grd"</f>
        <v>Tot FA Grd</v>
      </c>
    </row>
    <row r="151" spans="1:5" x14ac:dyDescent="0.3">
      <c r="A151" s="3"/>
      <c r="B151" s="3" t="str">
        <f>"TOT_INPROG_GPA - Total In Progress - GPA"</f>
        <v>TOT_INPROG_GPA - Total In Progress - GPA</v>
      </c>
      <c r="C151" s="3" t="str">
        <f>"Num6.3"</f>
        <v>Num6.3</v>
      </c>
      <c r="D151" s="4"/>
      <c r="E151" s="3" t="str">
        <f>"In Pr GPA"</f>
        <v>In Pr GPA</v>
      </c>
    </row>
    <row r="152" spans="1:5" x14ac:dyDescent="0.3">
      <c r="A152" s="3"/>
      <c r="B152" s="3" t="str">
        <f>"TOT_INPROG_NOGPA - Total In Progress -Not for GPA"</f>
        <v>TOT_INPROG_NOGPA - Total In Progress -Not for GPA</v>
      </c>
      <c r="C152" s="3" t="str">
        <f>"Num6.3"</f>
        <v>Num6.3</v>
      </c>
      <c r="D152" s="4"/>
      <c r="E152" s="3" t="str">
        <f>"InPr NoGPA"</f>
        <v>InPr NoGPA</v>
      </c>
    </row>
    <row r="153" spans="1:5" x14ac:dyDescent="0.3">
      <c r="A153" s="3"/>
      <c r="B153" s="3" t="str">
        <f>"TOT_OTHER - Total from Other Credit"</f>
        <v>TOT_OTHER - Total from Other Credit</v>
      </c>
      <c r="C153" s="3" t="str">
        <f>"Num6.3"</f>
        <v>Num6.3</v>
      </c>
      <c r="D153" s="4"/>
      <c r="E153" s="3" t="str">
        <f>"Other"</f>
        <v>Other</v>
      </c>
    </row>
    <row r="154" spans="1:5" x14ac:dyDescent="0.3">
      <c r="A154" s="3"/>
      <c r="B154" s="3" t="str">
        <f>"TOT_PASSD_FA - Total Fin Aid Units Passed"</f>
        <v>TOT_PASSD_FA - Total Fin Aid Units Passed</v>
      </c>
      <c r="C154" s="3" t="str">
        <f>"Num6.3"</f>
        <v>Num6.3</v>
      </c>
      <c r="D154" s="4"/>
      <c r="E154" s="3" t="str">
        <f>"Pass FA"</f>
        <v>Pass FA</v>
      </c>
    </row>
    <row r="155" spans="1:5" x14ac:dyDescent="0.3">
      <c r="A155" s="3"/>
      <c r="B155" s="3" t="str">
        <f>"TOT_PASSD_GPA - Total Passed Toward GPA"</f>
        <v>TOT_PASSD_GPA - Total Passed Toward GPA</v>
      </c>
      <c r="C155" s="3" t="str">
        <f>"Num6.3"</f>
        <v>Num6.3</v>
      </c>
      <c r="D155" s="4"/>
      <c r="E155" s="3" t="str">
        <f>"Pass GPA"</f>
        <v>Pass GPA</v>
      </c>
    </row>
    <row r="156" spans="1:5" x14ac:dyDescent="0.3">
      <c r="A156" s="3"/>
      <c r="B156" s="3" t="str">
        <f>"TOT_PASSD_NOGPA - Total Passed Not Toward GPA"</f>
        <v>TOT_PASSD_NOGPA - Total Passed Not Toward GPA</v>
      </c>
      <c r="C156" s="3" t="str">
        <f>"Num6.3"</f>
        <v>Num6.3</v>
      </c>
      <c r="D156" s="4"/>
      <c r="E156" s="3" t="str">
        <f>"PassNoGPA"</f>
        <v>PassNoGPA</v>
      </c>
    </row>
    <row r="157" spans="1:5" x14ac:dyDescent="0.3">
      <c r="A157" s="3"/>
      <c r="B157" s="3" t="str">
        <f>"TOT_PASSD_PRGRSS - Total Passed for Progress"</f>
        <v>TOT_PASSD_PRGRSS - Total Passed for Progress</v>
      </c>
      <c r="C157" s="3" t="str">
        <f>"Num6.3"</f>
        <v>Num6.3</v>
      </c>
      <c r="D157" s="4"/>
      <c r="E157" s="3" t="str">
        <f>"Pass Prgrs"</f>
        <v>Pass Prgrs</v>
      </c>
    </row>
    <row r="158" spans="1:5" x14ac:dyDescent="0.3">
      <c r="A158" s="3"/>
      <c r="B158" s="3" t="str">
        <f>"TOT_TAKEN_FA - Total Fin Aid Units Taken"</f>
        <v>TOT_TAKEN_FA - Total Fin Aid Units Taken</v>
      </c>
      <c r="C158" s="3" t="str">
        <f>"Num6.3"</f>
        <v>Num6.3</v>
      </c>
      <c r="D158" s="4"/>
      <c r="E158" s="3" t="str">
        <f>"Take FA"</f>
        <v>Take FA</v>
      </c>
    </row>
    <row r="159" spans="1:5" x14ac:dyDescent="0.3">
      <c r="A159" s="3"/>
      <c r="B159" s="3" t="str">
        <f>"TOT_TAKEN_FA_GPA - Total Fin Aid Taken Toward GPA"</f>
        <v>TOT_TAKEN_FA_GPA - Total Fin Aid Taken Toward GPA</v>
      </c>
      <c r="C159" s="3" t="str">
        <f>"Num6.3"</f>
        <v>Num6.3</v>
      </c>
      <c r="D159" s="4"/>
      <c r="E159" s="3" t="str">
        <f>"Tot FA GPA"</f>
        <v>Tot FA GPA</v>
      </c>
    </row>
    <row r="160" spans="1:5" x14ac:dyDescent="0.3">
      <c r="A160" s="3"/>
      <c r="B160" s="3" t="str">
        <f>"TOT_TAKEN_GPA - Total Taken Toward GPA"</f>
        <v>TOT_TAKEN_GPA - Total Taken Toward GPA</v>
      </c>
      <c r="C160" s="3" t="str">
        <f>"Num6.3"</f>
        <v>Num6.3</v>
      </c>
      <c r="D160" s="4"/>
      <c r="E160" s="3" t="str">
        <f>"Take GPA"</f>
        <v>Take GPA</v>
      </c>
    </row>
    <row r="161" spans="1:5" x14ac:dyDescent="0.3">
      <c r="A161" s="3"/>
      <c r="B161" s="3" t="str">
        <f>"TOT_TAKEN_NOGPA - Total Taken Not Toward GPA"</f>
        <v>TOT_TAKEN_NOGPA - Total Taken Not Toward GPA</v>
      </c>
      <c r="C161" s="3" t="str">
        <f>"Num6.3"</f>
        <v>Num6.3</v>
      </c>
      <c r="D161" s="4"/>
      <c r="E161" s="3" t="str">
        <f>"TakeNoGPA"</f>
        <v>TakeNoGPA</v>
      </c>
    </row>
    <row r="162" spans="1:5" x14ac:dyDescent="0.3">
      <c r="A162" s="3"/>
      <c r="B162" s="3" t="str">
        <f>"TOT_TAKEN_PRGRSS - Total Taken for Progress"</f>
        <v>TOT_TAKEN_PRGRSS - Total Taken for Progress</v>
      </c>
      <c r="C162" s="3" t="str">
        <f>"Num6.3"</f>
        <v>Num6.3</v>
      </c>
      <c r="D162" s="4"/>
      <c r="E162" s="3" t="str">
        <f>"Take Prgrs"</f>
        <v>Take Prgrs</v>
      </c>
    </row>
    <row r="163" spans="1:5" x14ac:dyDescent="0.3">
      <c r="A163" s="3"/>
      <c r="B163" s="3" t="str">
        <f>"TOT_TEST_CREDIT - Total From Test Credit"</f>
        <v>TOT_TEST_CREDIT - Total From Test Credit</v>
      </c>
      <c r="C163" s="3" t="str">
        <f>"Num6.3"</f>
        <v>Num6.3</v>
      </c>
      <c r="D163" s="4"/>
      <c r="E163" s="3" t="str">
        <f>"Test"</f>
        <v>Test</v>
      </c>
    </row>
    <row r="164" spans="1:5" x14ac:dyDescent="0.3">
      <c r="A164" s="3"/>
      <c r="B164" s="3" t="str">
        <f>"TOT_TRNSFR - Total Transferred"</f>
        <v>TOT_TRNSFR - Total Transferred</v>
      </c>
      <c r="C164" s="3" t="str">
        <f>"Num6.3"</f>
        <v>Num6.3</v>
      </c>
      <c r="D164" s="4"/>
      <c r="E164" s="3" t="str">
        <f>"Transfer"</f>
        <v>Transfer</v>
      </c>
    </row>
    <row r="165" spans="1:5" x14ac:dyDescent="0.3">
      <c r="A165" s="3"/>
      <c r="B165" s="3" t="str">
        <f>"TRF_GRADE_POINTS - Transfer Grade Points"</f>
        <v>TRF_GRADE_POINTS - Transfer Grade Points</v>
      </c>
      <c r="C165" s="3" t="str">
        <f>"Num7.3"</f>
        <v>Num7.3</v>
      </c>
      <c r="D165" s="4"/>
      <c r="E165" s="3" t="str">
        <f>"Trnsfr Grd Pts"</f>
        <v>Trnsfr Grd Pts</v>
      </c>
    </row>
    <row r="166" spans="1:5" x14ac:dyDescent="0.3">
      <c r="A166" s="3"/>
      <c r="B166" s="3" t="str">
        <f>"TRF_PASSED_GPA - Transfer Passed for GPA"</f>
        <v>TRF_PASSED_GPA - Transfer Passed for GPA</v>
      </c>
      <c r="C166" s="3" t="str">
        <f>"Num6.3"</f>
        <v>Num6.3</v>
      </c>
      <c r="D166" s="4"/>
      <c r="E166" s="3" t="str">
        <f>"TrnPasGPA"</f>
        <v>TrnPasGPA</v>
      </c>
    </row>
    <row r="167" spans="1:5" x14ac:dyDescent="0.3">
      <c r="A167" s="3"/>
      <c r="B167" s="3" t="str">
        <f>"TRF_PASSED_NOGPA - Transfer Passed Not for GPA"</f>
        <v>TRF_PASSED_NOGPA - Transfer Passed Not for GPA</v>
      </c>
      <c r="C167" s="3" t="str">
        <f>"Num6.3"</f>
        <v>Num6.3</v>
      </c>
      <c r="D167" s="4"/>
      <c r="E167" s="3" t="str">
        <f>"TrnPasNGPA"</f>
        <v>TrnPasNGPA</v>
      </c>
    </row>
    <row r="168" spans="1:5" x14ac:dyDescent="0.3">
      <c r="A168" s="3"/>
      <c r="B168" s="3" t="str">
        <f>"TRF_RESIDENT_TERMS - Transfer In Residence Terms"</f>
        <v>TRF_RESIDENT_TERMS - Transfer In Residence Terms</v>
      </c>
      <c r="C168" s="3" t="str">
        <f>"Num4.3"</f>
        <v>Num4.3</v>
      </c>
      <c r="D168" s="4"/>
      <c r="E168" s="3" t="str">
        <f>"Trf Res"</f>
        <v>Trf Res</v>
      </c>
    </row>
    <row r="169" spans="1:5" x14ac:dyDescent="0.3">
      <c r="A169" s="3"/>
      <c r="B169" s="3" t="str">
        <f>"TRF_TAKEN_GPA - Transfer Taken for GPA"</f>
        <v>TRF_TAKEN_GPA - Transfer Taken for GPA</v>
      </c>
      <c r="C169" s="3" t="str">
        <f>"Num6.3"</f>
        <v>Num6.3</v>
      </c>
      <c r="D169" s="4"/>
      <c r="E169" s="3" t="str">
        <f>"TrnTakGPA"</f>
        <v>TrnTakGPA</v>
      </c>
    </row>
    <row r="170" spans="1:5" x14ac:dyDescent="0.3">
      <c r="A170" s="3"/>
      <c r="B170" s="3" t="str">
        <f>"TRF_TAKEN_NOGPA - Transfer Taken Not for GPA"</f>
        <v>TRF_TAKEN_NOGPA - Transfer Taken Not for GPA</v>
      </c>
      <c r="C170" s="3" t="str">
        <f>"Num6.3"</f>
        <v>Num6.3</v>
      </c>
      <c r="D170" s="4"/>
      <c r="E170" s="3" t="str">
        <f>"TrnTakNGPA"</f>
        <v>TrnTakNGPA</v>
      </c>
    </row>
    <row r="171" spans="1:5" x14ac:dyDescent="0.3">
      <c r="A171" s="3"/>
      <c r="B171" s="3" t="str">
        <f>"TUIT_CALC_DTTM - Tuit Calc Date Time"</f>
        <v>TUIT_CALC_DTTM - Tuit Calc Date Time</v>
      </c>
      <c r="C171" s="3" t="str">
        <f>"DateTm"</f>
        <v>DateTm</v>
      </c>
      <c r="D171" s="4"/>
      <c r="E171" s="3" t="str">
        <f>"TuitDTTM"</f>
        <v>TuitDTTM</v>
      </c>
    </row>
    <row r="172" spans="1:5" x14ac:dyDescent="0.3">
      <c r="A172" s="3"/>
      <c r="B172" s="3" t="str">
        <f>"TUIT_CALC_REQ - Tuition Calc Required"</f>
        <v>TUIT_CALC_REQ - Tuition Calc Required</v>
      </c>
      <c r="C172" s="3" t="str">
        <f>"Char1"</f>
        <v>Char1</v>
      </c>
      <c r="D172" s="4"/>
      <c r="E172" s="3" t="str">
        <f>"Calc Req"</f>
        <v>Calc Req</v>
      </c>
    </row>
    <row r="173" spans="1:5" x14ac:dyDescent="0.3">
      <c r="A173" s="3"/>
      <c r="B173" s="3" t="str">
        <f>"TUITION_RES_TERMS - Tuition Residency"</f>
        <v>TUITION_RES_TERMS - Tuition Residency</v>
      </c>
      <c r="C173" s="3" t="str">
        <f>"Num4.3"</f>
        <v>Num4.3</v>
      </c>
      <c r="D173" s="4"/>
      <c r="E173" s="3" t="str">
        <f>"Tuition Res."</f>
        <v>Tuition Res.</v>
      </c>
    </row>
    <row r="174" spans="1:5" x14ac:dyDescent="0.3">
      <c r="A174" s="3"/>
      <c r="B174" s="3" t="str">
        <f>"UM_ACAD_GRP_DESCR - Academic Group Descr"</f>
        <v>UM_ACAD_GRP_DESCR - Academic Group Descr</v>
      </c>
      <c r="C174" s="3" t="str">
        <f>"Char30"</f>
        <v>Char30</v>
      </c>
      <c r="D174" s="4"/>
      <c r="E174" s="3" t="str">
        <f>"Academic Group"</f>
        <v>Academic Group</v>
      </c>
    </row>
    <row r="175" spans="1:5" x14ac:dyDescent="0.3">
      <c r="A175" s="3"/>
      <c r="B175" s="3" t="str">
        <f>"UM_ACAD_LOAD_RC - Calculated Academic Load"</f>
        <v>UM_ACAD_LOAD_RC - Calculated Academic Load</v>
      </c>
      <c r="C175" s="3" t="str">
        <f>"Char1"</f>
        <v>Char1</v>
      </c>
      <c r="D175" s="3" t="str">
        <f>"N"</f>
        <v>N</v>
      </c>
      <c r="E175" s="3" t="str">
        <f>"Calc Acad Load"</f>
        <v>Calc Acad Load</v>
      </c>
    </row>
    <row r="176" spans="1:5" x14ac:dyDescent="0.3">
      <c r="A176" s="3"/>
      <c r="B176" s="3" t="str">
        <f>"UM_ACAD_LVL_DESCR - Academic Level Description"</f>
        <v>UM_ACAD_LVL_DESCR - Academic Level Description</v>
      </c>
      <c r="C176" s="3" t="str">
        <f>"Char30"</f>
        <v>Char30</v>
      </c>
      <c r="D176" s="4"/>
      <c r="E176" s="3" t="str">
        <f>"Acad Level Desc"</f>
        <v>Acad Level Desc</v>
      </c>
    </row>
    <row r="177" spans="1:5" x14ac:dyDescent="0.3">
      <c r="A177" s="3"/>
      <c r="B177" s="3" t="str">
        <f>"UM_ACAD_PLAN_DESCR - Academic Plan Description"</f>
        <v>UM_ACAD_PLAN_DESCR - Academic Plan Description</v>
      </c>
      <c r="C177" s="3" t="str">
        <f>"Char30"</f>
        <v>Char30</v>
      </c>
      <c r="D177" s="4"/>
      <c r="E177" s="3" t="str">
        <f>"Acad Plan Descr"</f>
        <v>Acad Plan Descr</v>
      </c>
    </row>
    <row r="178" spans="1:5" x14ac:dyDescent="0.3">
      <c r="A178" s="3"/>
      <c r="B178" s="3" t="str">
        <f>"UM_ACAD_PROGP_DSC - Acad Prog Primary Descr"</f>
        <v>UM_ACAD_PROGP_DSC - Acad Prog Primary Descr</v>
      </c>
      <c r="C178" s="3" t="str">
        <f>"Char30"</f>
        <v>Char30</v>
      </c>
      <c r="D178" s="4"/>
      <c r="E178" s="3" t="str">
        <f>"Acd Prg Prm Dsc"</f>
        <v>Acd Prg Prm Dsc</v>
      </c>
    </row>
    <row r="179" spans="1:5" x14ac:dyDescent="0.3">
      <c r="A179" s="3"/>
      <c r="B179" s="3" t="str">
        <f>"UM_ACAD_SUBPLN_DSC - Academic Sub Plan Description"</f>
        <v>UM_ACAD_SUBPLN_DSC - Academic Sub Plan Description</v>
      </c>
      <c r="C179" s="3" t="str">
        <f>"Char30"</f>
        <v>Char30</v>
      </c>
      <c r="D179" s="4"/>
      <c r="E179" s="3" t="str">
        <f>"Acad Sub Descr"</f>
        <v>Acad Sub Descr</v>
      </c>
    </row>
    <row r="180" spans="1:5" x14ac:dyDescent="0.3">
      <c r="A180" s="3"/>
      <c r="B180" s="3" t="str">
        <f>"UM_ADVISR_FST_NAME - Advisor First Name"</f>
        <v>UM_ADVISR_FST_NAME - Advisor First Name</v>
      </c>
      <c r="C180" s="3" t="str">
        <f>"Char30"</f>
        <v>Char30</v>
      </c>
      <c r="D180" s="4"/>
      <c r="E180" s="3" t="str">
        <f>"Advisr Fst Name"</f>
        <v>Advisr Fst Name</v>
      </c>
    </row>
    <row r="181" spans="1:5" x14ac:dyDescent="0.3">
      <c r="A181" s="3"/>
      <c r="B181" s="3" t="str">
        <f>"UM_ADVISR_LST_NAME - Advisor Last Name"</f>
        <v>UM_ADVISR_LST_NAME - Advisor Last Name</v>
      </c>
      <c r="C181" s="3" t="str">
        <f>"Char30"</f>
        <v>Char30</v>
      </c>
      <c r="D181" s="4"/>
      <c r="E181" s="3" t="str">
        <f>"Advisr Lst Name"</f>
        <v>Advisr Lst Name</v>
      </c>
    </row>
    <row r="182" spans="1:5" x14ac:dyDescent="0.3">
      <c r="A182" s="3"/>
      <c r="B182" s="3" t="str">
        <f>"UM_ADVISR_MID_NAME - Advisor Middle Name"</f>
        <v>UM_ADVISR_MID_NAME - Advisor Middle Name</v>
      </c>
      <c r="C182" s="3" t="str">
        <f>"Char30"</f>
        <v>Char30</v>
      </c>
      <c r="D182" s="4"/>
      <c r="E182" s="3" t="str">
        <f>"Advisr Mid Name"</f>
        <v>Advisr Mid Name</v>
      </c>
    </row>
    <row r="183" spans="1:5" x14ac:dyDescent="0.3">
      <c r="A183" s="3"/>
      <c r="B183" s="3" t="str">
        <f>"UM_ADVISR_NAME_SFX - Advisor Name Suffix"</f>
        <v>UM_ADVISR_NAME_SFX - Advisor Name Suffix</v>
      </c>
      <c r="C183" s="3" t="str">
        <f>"Char15"</f>
        <v>Char15</v>
      </c>
      <c r="D183" s="4"/>
      <c r="E183" s="3" t="str">
        <f>"Advisr Name Sfx"</f>
        <v>Advisr Name Sfx</v>
      </c>
    </row>
    <row r="184" spans="1:5" x14ac:dyDescent="0.3">
      <c r="A184" s="3"/>
      <c r="B184" s="3" t="str">
        <f>"UM_CITIZEN_STAT_OT - Citizenship Status Other"</f>
        <v>UM_CITIZEN_STAT_OT - Citizenship Status Other</v>
      </c>
      <c r="C184" s="3" t="str">
        <f>"Char1"</f>
        <v>Char1</v>
      </c>
      <c r="D184" s="4"/>
      <c r="E184" s="3" t="str">
        <f>"Citizn Stat Oth"</f>
        <v>Citizn Stat Oth</v>
      </c>
    </row>
    <row r="185" spans="1:5" x14ac:dyDescent="0.3">
      <c r="A185" s="3"/>
      <c r="B185" s="3" t="str">
        <f>"UM_COUNTRY_OTH - Country Other"</f>
        <v>UM_COUNTRY_OTH - Country Other</v>
      </c>
      <c r="C185" s="3" t="str">
        <f>"Char3"</f>
        <v>Char3</v>
      </c>
      <c r="D185" s="4"/>
      <c r="E185" s="3" t="str">
        <f>"Country Oth"</f>
        <v>Country Oth</v>
      </c>
    </row>
    <row r="186" spans="1:5" x14ac:dyDescent="0.3">
      <c r="A186" s="3"/>
      <c r="B186" s="3" t="str">
        <f>"UM_COUNTRY_USA - Country is USA"</f>
        <v>UM_COUNTRY_USA - Country is USA</v>
      </c>
      <c r="C186" s="3" t="str">
        <f>"Char3"</f>
        <v>Char3</v>
      </c>
      <c r="D186" s="4"/>
      <c r="E186" s="3" t="str">
        <f>"Country USA"</f>
        <v>Country USA</v>
      </c>
    </row>
    <row r="187" spans="1:5" x14ac:dyDescent="0.3">
      <c r="A187" s="3"/>
      <c r="B187" s="3" t="str">
        <f>"UM_EMAIL_HOM_ADDR - Email Home Address"</f>
        <v>UM_EMAIL_HOM_ADDR - Email Home Address</v>
      </c>
      <c r="C187" s="3" t="str">
        <f>"Char70"</f>
        <v>Char70</v>
      </c>
      <c r="D187" s="4"/>
      <c r="E187" s="3" t="str">
        <f>"Email Home Addr"</f>
        <v>Email Home Addr</v>
      </c>
    </row>
    <row r="188" spans="1:5" x14ac:dyDescent="0.3">
      <c r="A188" s="3"/>
      <c r="B188" s="3" t="str">
        <f>"UM_ETH_GRP_DESCR - Ethnic Group Descr"</f>
        <v>UM_ETH_GRP_DESCR - Ethnic Group Descr</v>
      </c>
      <c r="C188" s="3" t="str">
        <f>"Char30"</f>
        <v>Char30</v>
      </c>
      <c r="D188" s="4"/>
      <c r="E188" s="3" t="str">
        <f>"Eth Grp Descr"</f>
        <v>Eth Grp Descr</v>
      </c>
    </row>
    <row r="189" spans="1:5" x14ac:dyDescent="0.3">
      <c r="A189" s="3"/>
      <c r="B189" s="3" t="str">
        <f>"UM_ETHNIC_DESCR - Ethnic Description"</f>
        <v>UM_ETHNIC_DESCR - Ethnic Description</v>
      </c>
      <c r="C189" s="3" t="str">
        <f>"Char50"</f>
        <v>Char50</v>
      </c>
      <c r="D189" s="4"/>
      <c r="E189" s="3" t="str">
        <f>"Ethic Descr"</f>
        <v>Ethic Descr</v>
      </c>
    </row>
    <row r="190" spans="1:5" x14ac:dyDescent="0.3">
      <c r="A190" s="3"/>
      <c r="B190" s="3" t="str">
        <f>"UM_EXT_ORGID_DESCR - External Org ID Description"</f>
        <v>UM_EXT_ORGID_DESCR - External Org ID Description</v>
      </c>
      <c r="C190" s="3" t="str">
        <f>"Char30"</f>
        <v>Char30</v>
      </c>
      <c r="D190" s="4"/>
      <c r="E190" s="3" t="str">
        <f>"Ext Org ID Desc"</f>
        <v>Ext Org ID Desc</v>
      </c>
    </row>
    <row r="191" spans="1:5" x14ac:dyDescent="0.3">
      <c r="A191" s="3"/>
      <c r="B191" s="3" t="str">
        <f>"UM_FEES_PAID - Fees Paid"</f>
        <v>UM_FEES_PAID - Fees Paid</v>
      </c>
      <c r="C191" s="3" t="str">
        <f>"SNm8.0"</f>
        <v>SNm8.0</v>
      </c>
      <c r="D191" s="4"/>
      <c r="E191" s="3" t="str">
        <f>"Fees Paid"</f>
        <v>Fees Paid</v>
      </c>
    </row>
    <row r="192" spans="1:5" x14ac:dyDescent="0.3">
      <c r="A192" s="3"/>
      <c r="B192" s="3" t="str">
        <f>"UM_LAST_SCH_DESCR - Last School Attend Description"</f>
        <v>UM_LAST_SCH_DESCR - Last School Attend Description</v>
      </c>
      <c r="C192" s="3" t="str">
        <f>"Char30"</f>
        <v>Char30</v>
      </c>
      <c r="D192" s="4"/>
      <c r="E192" s="3" t="str">
        <f>"Lst School Desc"</f>
        <v>Lst School Desc</v>
      </c>
    </row>
    <row r="193" spans="1:5" x14ac:dyDescent="0.3">
      <c r="A193" s="3"/>
      <c r="B193" s="3" t="str">
        <f>"UM_LAST_SCH_TYPE - Last School Attended Type"</f>
        <v>UM_LAST_SCH_TYPE - Last School Attended Type</v>
      </c>
      <c r="C193" s="3" t="str">
        <f>"Char3"</f>
        <v>Char3</v>
      </c>
      <c r="D193" s="4"/>
      <c r="E193" s="3" t="str">
        <f>"Last School Typ"</f>
        <v>Last School Typ</v>
      </c>
    </row>
    <row r="194" spans="1:5" x14ac:dyDescent="0.3">
      <c r="A194" s="3"/>
      <c r="B194" s="3" t="str">
        <f>"UM_MAX_ACT_COMP - Maximum ACT Comp"</f>
        <v>UM_MAX_ACT_COMP - Maximum ACT Comp</v>
      </c>
      <c r="C194" s="3" t="str">
        <f>"Num5.2"</f>
        <v>Num5.2</v>
      </c>
      <c r="D194" s="4"/>
      <c r="E194" s="3" t="str">
        <f>"Max ACT Comp"</f>
        <v>Max ACT Comp</v>
      </c>
    </row>
    <row r="195" spans="1:5" x14ac:dyDescent="0.3">
      <c r="A195" s="3"/>
      <c r="B195" s="3" t="str">
        <f>"UM_MAX_ACT_ENGL - Maximum ACT English"</f>
        <v>UM_MAX_ACT_ENGL - Maximum ACT English</v>
      </c>
      <c r="C195" s="3" t="str">
        <f>"Num5.2"</f>
        <v>Num5.2</v>
      </c>
      <c r="D195" s="4"/>
      <c r="E195" s="3" t="str">
        <f>"Max ACT English"</f>
        <v>Max ACT English</v>
      </c>
    </row>
    <row r="196" spans="1:5" x14ac:dyDescent="0.3">
      <c r="A196" s="3"/>
      <c r="B196" s="3" t="str">
        <f>"UM_MAX_ACT_MATH - Maximum ACT Math"</f>
        <v>UM_MAX_ACT_MATH - Maximum ACT Math</v>
      </c>
      <c r="C196" s="3" t="str">
        <f>"Num5.2"</f>
        <v>Num5.2</v>
      </c>
      <c r="D196" s="4"/>
      <c r="E196" s="3" t="str">
        <f>"Max ACT Math"</f>
        <v>Max ACT Math</v>
      </c>
    </row>
    <row r="197" spans="1:5" x14ac:dyDescent="0.3">
      <c r="A197" s="3"/>
      <c r="B197" s="3" t="str">
        <f>"UM_MAX_GRE_QUAN - Maximum Quantitative GRE"</f>
        <v>UM_MAX_GRE_QUAN - Maximum Quantitative GRE</v>
      </c>
      <c r="C197" s="3" t="str">
        <f>"Num5.2"</f>
        <v>Num5.2</v>
      </c>
      <c r="D197" s="4"/>
      <c r="E197" s="3" t="str">
        <f>"Max GRE QUAN"</f>
        <v>Max GRE QUAN</v>
      </c>
    </row>
    <row r="198" spans="1:5" x14ac:dyDescent="0.3">
      <c r="A198" s="3"/>
      <c r="B198" s="3" t="str">
        <f>"UM_MAX_GRE_VERB - Maximum GRE Verbal"</f>
        <v>UM_MAX_GRE_VERB - Maximum GRE Verbal</v>
      </c>
      <c r="C198" s="3" t="str">
        <f>"Num5.2"</f>
        <v>Num5.2</v>
      </c>
      <c r="D198" s="4"/>
      <c r="E198" s="3" t="str">
        <f>"Max GRE VERB"</f>
        <v>Max GRE VERB</v>
      </c>
    </row>
    <row r="199" spans="1:5" x14ac:dyDescent="0.3">
      <c r="A199" s="3"/>
      <c r="B199" s="3" t="str">
        <f>"UM_MAX_SAT_ERWS - Max SAT ERWS"</f>
        <v>UM_MAX_SAT_ERWS - Max SAT ERWS</v>
      </c>
      <c r="C199" s="3" t="str">
        <f>"Num5.2"</f>
        <v>Num5.2</v>
      </c>
      <c r="D199" s="4"/>
      <c r="E199" s="3" t="str">
        <f>"Max SAT ERWS"</f>
        <v>Max SAT ERWS</v>
      </c>
    </row>
    <row r="200" spans="1:5" x14ac:dyDescent="0.3">
      <c r="A200" s="3"/>
      <c r="B200" s="3" t="str">
        <f>"UM_MAX_SAT_MATH - Maximum Sat Math"</f>
        <v>UM_MAX_SAT_MATH - Maximum Sat Math</v>
      </c>
      <c r="C200" s="3" t="str">
        <f>"Num5.2"</f>
        <v>Num5.2</v>
      </c>
      <c r="D200" s="4"/>
      <c r="E200" s="3" t="str">
        <f>"Max Sat Math"</f>
        <v>Max Sat Math</v>
      </c>
    </row>
    <row r="201" spans="1:5" x14ac:dyDescent="0.3">
      <c r="A201" s="3"/>
      <c r="B201" s="3" t="str">
        <f>"UM_MAX_SAT_MSS - Max SAT MSS"</f>
        <v>UM_MAX_SAT_MSS - Max SAT MSS</v>
      </c>
      <c r="C201" s="3" t="str">
        <f>"Num5.2"</f>
        <v>Num5.2</v>
      </c>
      <c r="D201" s="4"/>
      <c r="E201" s="3" t="str">
        <f>"Max SAT MSS"</f>
        <v>Max SAT MSS</v>
      </c>
    </row>
    <row r="202" spans="1:5" x14ac:dyDescent="0.3">
      <c r="A202" s="3"/>
      <c r="B202" s="3" t="str">
        <f>"UM_MAX_SAT_VERB - Maximum Sat Verbal"</f>
        <v>UM_MAX_SAT_VERB - Maximum Sat Verbal</v>
      </c>
      <c r="C202" s="3" t="str">
        <f>"Num5.2"</f>
        <v>Num5.2</v>
      </c>
      <c r="D202" s="4"/>
      <c r="E202" s="3" t="str">
        <f>"Max Sat Verbal"</f>
        <v>Max Sat Verbal</v>
      </c>
    </row>
    <row r="203" spans="1:5" x14ac:dyDescent="0.3">
      <c r="A203" s="3"/>
      <c r="B203" s="3" t="str">
        <f>"UM_MAX_SAT_WRIT - Maximum SAT Write"</f>
        <v>UM_MAX_SAT_WRIT - Maximum SAT Write</v>
      </c>
      <c r="C203" s="3" t="str">
        <f>"Num5.2"</f>
        <v>Num5.2</v>
      </c>
      <c r="D203" s="4"/>
      <c r="E203" s="3" t="str">
        <f>"Max SAT Write"</f>
        <v>Max SAT Write</v>
      </c>
    </row>
    <row r="204" spans="1:5" x14ac:dyDescent="0.3">
      <c r="A204" s="3"/>
      <c r="B204" s="3" t="str">
        <f>"UM_MAX_TOEFL_COMPC - Maximum TOEFL COMPC"</f>
        <v>UM_MAX_TOEFL_COMPC - Maximum TOEFL COMPC</v>
      </c>
      <c r="C204" s="3" t="str">
        <f>"Num5.2"</f>
        <v>Num5.2</v>
      </c>
      <c r="D204" s="4"/>
      <c r="E204" s="3" t="str">
        <f>"Max TOEFL COMPC"</f>
        <v>Max TOEFL COMPC</v>
      </c>
    </row>
    <row r="205" spans="1:5" x14ac:dyDescent="0.3">
      <c r="A205" s="3"/>
      <c r="B205" s="3" t="str">
        <f>"UM_MAX_TOEFL_COMPI - Maximum TOEFL COMPI"</f>
        <v>UM_MAX_TOEFL_COMPI - Maximum TOEFL COMPI</v>
      </c>
      <c r="C205" s="3" t="str">
        <f>"Num5.2"</f>
        <v>Num5.2</v>
      </c>
      <c r="D205" s="4"/>
      <c r="E205" s="3" t="str">
        <f>"Max TOEFL COMPI"</f>
        <v>Max TOEFL COMPI</v>
      </c>
    </row>
    <row r="206" spans="1:5" x14ac:dyDescent="0.3">
      <c r="A206" s="3"/>
      <c r="B206" s="3" t="str">
        <f>"UM_MAX_TOEFL_COMPP - Maximum TOEFL COMPP"</f>
        <v>UM_MAX_TOEFL_COMPP - Maximum TOEFL COMPP</v>
      </c>
      <c r="C206" s="3" t="str">
        <f>"Num5.2"</f>
        <v>Num5.2</v>
      </c>
      <c r="D206" s="4"/>
      <c r="E206" s="3" t="str">
        <f>"Max TOEFL COMPP"</f>
        <v>Max TOEFL COMPP</v>
      </c>
    </row>
    <row r="207" spans="1:5" x14ac:dyDescent="0.3">
      <c r="A207" s="3"/>
      <c r="B207" s="3" t="str">
        <f>"UM_MIN_ACAD_PLAN - Academic Plan"</f>
        <v>UM_MIN_ACAD_PLAN - Academic Plan</v>
      </c>
      <c r="C207" s="3" t="str">
        <f>"Char10"</f>
        <v>Char10</v>
      </c>
      <c r="D207" s="4"/>
      <c r="E207" s="3" t="str">
        <f>"Acad Plan"</f>
        <v>Acad Plan</v>
      </c>
    </row>
    <row r="208" spans="1:5" x14ac:dyDescent="0.3">
      <c r="A208" s="3"/>
      <c r="B208" s="3" t="str">
        <f>"UM_MIN_ACAD_PROG - Academic Program"</f>
        <v>UM_MIN_ACAD_PROG - Academic Program</v>
      </c>
      <c r="C208" s="3" t="str">
        <f>"Char5"</f>
        <v>Char5</v>
      </c>
      <c r="D208" s="4"/>
      <c r="E208" s="3" t="str">
        <f>"Acad Prog"</f>
        <v>Acad Prog</v>
      </c>
    </row>
    <row r="209" spans="1:5" x14ac:dyDescent="0.3">
      <c r="A209" s="3"/>
      <c r="B209" s="3" t="str">
        <f>"UM_MIN_ACAD_SUBPLN - Academic Sub-Plan"</f>
        <v>UM_MIN_ACAD_SUBPLN - Academic Sub-Plan</v>
      </c>
      <c r="C209" s="3" t="str">
        <f>"Char10"</f>
        <v>Char10</v>
      </c>
      <c r="D209" s="4"/>
      <c r="E209" s="3" t="str">
        <f>"Sub-Plan"</f>
        <v>Sub-Plan</v>
      </c>
    </row>
    <row r="210" spans="1:5" x14ac:dyDescent="0.3">
      <c r="A210" s="3"/>
      <c r="B210" s="3" t="str">
        <f>"UM_MULTIPLE_ETHNIC - Multiple Ethnic Groups"</f>
        <v>UM_MULTIPLE_ETHNIC - Multiple Ethnic Groups</v>
      </c>
      <c r="C210" s="3" t="str">
        <f>"Char1"</f>
        <v>Char1</v>
      </c>
      <c r="D210" s="3" t="str">
        <f>"N"</f>
        <v>N</v>
      </c>
      <c r="E210" s="3" t="str">
        <f>"Mutiple_Ethnic"</f>
        <v>Mutiple_Ethnic</v>
      </c>
    </row>
    <row r="211" spans="1:5" x14ac:dyDescent="0.3">
      <c r="A211" s="3"/>
      <c r="B211" s="3" t="str">
        <f>"UM_NID_CAN - National ID Canada"</f>
        <v>UM_NID_CAN - National ID Canada</v>
      </c>
      <c r="C211" s="3" t="str">
        <f>"Char20"</f>
        <v>Char20</v>
      </c>
      <c r="D211" s="4"/>
      <c r="E211" s="3" t="str">
        <f>"NID Canada"</f>
        <v>NID Canada</v>
      </c>
    </row>
    <row r="212" spans="1:5" x14ac:dyDescent="0.3">
      <c r="A212" s="3"/>
      <c r="B212" s="3" t="str">
        <f>"UM_NID_USA - National Id USA"</f>
        <v>UM_NID_USA - National Id USA</v>
      </c>
      <c r="C212" s="3" t="str">
        <f>"Char20"</f>
        <v>Char20</v>
      </c>
      <c r="D212" s="4"/>
      <c r="E212" s="3" t="str">
        <f>"NID USA"</f>
        <v>NID USA</v>
      </c>
    </row>
    <row r="213" spans="1:5" x14ac:dyDescent="0.3">
      <c r="A213" s="3"/>
      <c r="B213" s="3" t="str">
        <f>"UM_ORIG_ACAD_PLAN - ORIGINAL_ACAD_PLAN"</f>
        <v>UM_ORIG_ACAD_PLAN - ORIGINAL_ACAD_PLAN</v>
      </c>
      <c r="C213" s="3" t="str">
        <f>"Char10"</f>
        <v>Char10</v>
      </c>
      <c r="D213" s="4"/>
      <c r="E213" s="3" t="str">
        <f>"ORIG_ACAD_PLAN"</f>
        <v>ORIG_ACAD_PLAN</v>
      </c>
    </row>
    <row r="214" spans="1:5" x14ac:dyDescent="0.3">
      <c r="A214" s="3"/>
      <c r="B214" s="3" t="str">
        <f>"UM_ORIG_ACAD_PROG - ORIGINAL_ACAD_PROG"</f>
        <v>UM_ORIG_ACAD_PROG - ORIGINAL_ACAD_PROG</v>
      </c>
      <c r="C214" s="3" t="str">
        <f>"Char5"</f>
        <v>Char5</v>
      </c>
      <c r="D214" s="4"/>
      <c r="E214" s="3" t="str">
        <f>"ORIG_ACAD_PROG"</f>
        <v>ORIG_ACAD_PROG</v>
      </c>
    </row>
    <row r="215" spans="1:5" x14ac:dyDescent="0.3">
      <c r="A215" s="3"/>
      <c r="B215" s="3" t="str">
        <f>"UM_PREVIOUS_NAME - Previous Name"</f>
        <v>UM_PREVIOUS_NAME - Previous Name</v>
      </c>
      <c r="C215" s="3" t="str">
        <f>"Char50"</f>
        <v>Char50</v>
      </c>
      <c r="D215" s="4"/>
      <c r="E215" s="3" t="str">
        <f>"Prev Name"</f>
        <v>Prev Name</v>
      </c>
    </row>
    <row r="216" spans="1:5" x14ac:dyDescent="0.3">
      <c r="A216" s="3"/>
      <c r="B216" s="3" t="str">
        <f>"UM_RSP_REASN_DESCR - Response Reason Descriptions"</f>
        <v>UM_RSP_REASN_DESCR - Response Reason Descriptions</v>
      </c>
      <c r="C216" s="3" t="str">
        <f>"Char30"</f>
        <v>Char30</v>
      </c>
      <c r="D216" s="4"/>
      <c r="E216" s="3" t="str">
        <f>"Resp Reason Des"</f>
        <v>Resp Reason Des</v>
      </c>
    </row>
    <row r="217" spans="1:5" x14ac:dyDescent="0.3">
      <c r="A217" s="3"/>
      <c r="B217" s="3" t="str">
        <f>"UM_TUITION_PAID - Tuition Paid"</f>
        <v>UM_TUITION_PAID - Tuition Paid</v>
      </c>
      <c r="C217" s="3" t="str">
        <f>"SNm8.0"</f>
        <v>SNm8.0</v>
      </c>
      <c r="D217" s="4"/>
      <c r="E217" s="3" t="str">
        <f>"Tuition Paid"</f>
        <v>Tuition Paid</v>
      </c>
    </row>
    <row r="218" spans="1:5" x14ac:dyDescent="0.3">
      <c r="A218" s="3"/>
      <c r="B218" s="3" t="str">
        <f>"UM_UMS01_FLG - Ums01 Registered Flag"</f>
        <v>UM_UMS01_FLG - Ums01 Registered Flag</v>
      </c>
      <c r="C218" s="3" t="str">
        <f>"Char1"</f>
        <v>Char1</v>
      </c>
      <c r="D218" s="4"/>
      <c r="E218" s="3" t="str">
        <f>"Ums01 Flag"</f>
        <v>Ums01 Flag</v>
      </c>
    </row>
    <row r="219" spans="1:5" x14ac:dyDescent="0.3">
      <c r="A219" s="3"/>
      <c r="B219" s="3" t="str">
        <f>"UM_UMS01_UNITS - UMS01 Units"</f>
        <v>UM_UMS01_UNITS - UMS01 Units</v>
      </c>
      <c r="C219" s="3" t="str">
        <f>"Num6.3"</f>
        <v>Num6.3</v>
      </c>
      <c r="D219" s="4"/>
      <c r="E219" s="3" t="str">
        <f>"UMS01 Units"</f>
        <v>UMS01 Units</v>
      </c>
    </row>
    <row r="220" spans="1:5" x14ac:dyDescent="0.3">
      <c r="A220" s="3"/>
      <c r="B220" s="3" t="str">
        <f>"UM_UMS02_FLG - UMS02 Registered Flag"</f>
        <v>UM_UMS02_FLG - UMS02 Registered Flag</v>
      </c>
      <c r="C220" s="3" t="str">
        <f>"Char1"</f>
        <v>Char1</v>
      </c>
      <c r="D220" s="4"/>
      <c r="E220" s="3" t="str">
        <f>"UMS02 Flag"</f>
        <v>UMS02 Flag</v>
      </c>
    </row>
    <row r="221" spans="1:5" x14ac:dyDescent="0.3">
      <c r="A221" s="3"/>
      <c r="B221" s="3" t="str">
        <f>"UM_UMS02_UNITS - UMS02 Units"</f>
        <v>UM_UMS02_UNITS - UMS02 Units</v>
      </c>
      <c r="C221" s="3" t="str">
        <f>"Num6.3"</f>
        <v>Num6.3</v>
      </c>
      <c r="D221" s="4"/>
      <c r="E221" s="3" t="str">
        <f>"UMS02 Units"</f>
        <v>UMS02 Units</v>
      </c>
    </row>
    <row r="222" spans="1:5" x14ac:dyDescent="0.3">
      <c r="A222" s="3"/>
      <c r="B222" s="3" t="str">
        <f>"UM_UMS03_FLG - Ums03 Registered Flag"</f>
        <v>UM_UMS03_FLG - Ums03 Registered Flag</v>
      </c>
      <c r="C222" s="3" t="str">
        <f>"Char1"</f>
        <v>Char1</v>
      </c>
      <c r="D222" s="4"/>
      <c r="E222" s="3" t="str">
        <f>"Ums03 Flag"</f>
        <v>Ums03 Flag</v>
      </c>
    </row>
    <row r="223" spans="1:5" x14ac:dyDescent="0.3">
      <c r="A223" s="3"/>
      <c r="B223" s="3" t="str">
        <f>"UM_UMS03_UNITS - UMS03 Units"</f>
        <v>UM_UMS03_UNITS - UMS03 Units</v>
      </c>
      <c r="C223" s="3" t="str">
        <f>"Num6.3"</f>
        <v>Num6.3</v>
      </c>
      <c r="D223" s="4"/>
      <c r="E223" s="3" t="str">
        <f>"Ums03 Units"</f>
        <v>Ums03 Units</v>
      </c>
    </row>
    <row r="224" spans="1:5" x14ac:dyDescent="0.3">
      <c r="A224" s="3"/>
      <c r="B224" s="3" t="str">
        <f>"UM_UMS04_FLG - UMS04 Registered Flag"</f>
        <v>UM_UMS04_FLG - UMS04 Registered Flag</v>
      </c>
      <c r="C224" s="3" t="str">
        <f>"Char1"</f>
        <v>Char1</v>
      </c>
      <c r="D224" s="4"/>
      <c r="E224" s="3" t="str">
        <f>"UMS04 Flag"</f>
        <v>UMS04 Flag</v>
      </c>
    </row>
    <row r="225" spans="1:5" x14ac:dyDescent="0.3">
      <c r="A225" s="3"/>
      <c r="B225" s="3" t="str">
        <f>"UM_UMS04_UNITS - UMS04 Units"</f>
        <v>UM_UMS04_UNITS - UMS04 Units</v>
      </c>
      <c r="C225" s="3" t="str">
        <f>"Num6.3"</f>
        <v>Num6.3</v>
      </c>
      <c r="D225" s="4"/>
      <c r="E225" s="3" t="str">
        <f>"UMS04 Units"</f>
        <v>UMS04 Units</v>
      </c>
    </row>
    <row r="226" spans="1:5" x14ac:dyDescent="0.3">
      <c r="A226" s="3"/>
      <c r="B226" s="3" t="str">
        <f>"UM_UMS05_FLG - Ums05 Registered Flag"</f>
        <v>UM_UMS05_FLG - Ums05 Registered Flag</v>
      </c>
      <c r="C226" s="3" t="str">
        <f>"Char1"</f>
        <v>Char1</v>
      </c>
      <c r="D226" s="4"/>
      <c r="E226" s="3" t="str">
        <f>"Ums05 Flag"</f>
        <v>Ums05 Flag</v>
      </c>
    </row>
    <row r="227" spans="1:5" x14ac:dyDescent="0.3">
      <c r="A227" s="3"/>
      <c r="B227" s="3" t="str">
        <f>"UM_UMS05_UNITS - UMS05 Units"</f>
        <v>UM_UMS05_UNITS - UMS05 Units</v>
      </c>
      <c r="C227" s="3" t="str">
        <f>"Num6.3"</f>
        <v>Num6.3</v>
      </c>
      <c r="D227" s="4"/>
      <c r="E227" s="3" t="str">
        <f>"UMS05 Units"</f>
        <v>UMS05 Units</v>
      </c>
    </row>
    <row r="228" spans="1:5" x14ac:dyDescent="0.3">
      <c r="A228" s="3"/>
      <c r="B228" s="3" t="str">
        <f>"UM_UMS06_FLG - Ums06 Registered Flag"</f>
        <v>UM_UMS06_FLG - Ums06 Registered Flag</v>
      </c>
      <c r="C228" s="3" t="str">
        <f>"Char1"</f>
        <v>Char1</v>
      </c>
      <c r="D228" s="4"/>
      <c r="E228" s="3" t="str">
        <f>"Ums06 Flag"</f>
        <v>Ums06 Flag</v>
      </c>
    </row>
    <row r="229" spans="1:5" x14ac:dyDescent="0.3">
      <c r="A229" s="3"/>
      <c r="B229" s="3" t="str">
        <f>"UM_UMS06_UNITS - UMS06 Units"</f>
        <v>UM_UMS06_UNITS - UMS06 Units</v>
      </c>
      <c r="C229" s="3" t="str">
        <f>"Num6.3"</f>
        <v>Num6.3</v>
      </c>
      <c r="D229" s="4"/>
      <c r="E229" s="3" t="str">
        <f>"UMS06 Units"</f>
        <v>UMS06 Units</v>
      </c>
    </row>
    <row r="230" spans="1:5" x14ac:dyDescent="0.3">
      <c r="A230" s="3"/>
      <c r="B230" s="3" t="str">
        <f>"UM_UMS07_FLG - Ums07 Registered Flag"</f>
        <v>UM_UMS07_FLG - Ums07 Registered Flag</v>
      </c>
      <c r="C230" s="3" t="str">
        <f>"Char1"</f>
        <v>Char1</v>
      </c>
      <c r="D230" s="4"/>
      <c r="E230" s="3" t="str">
        <f>"Ums07 Flag"</f>
        <v>Ums07 Flag</v>
      </c>
    </row>
    <row r="231" spans="1:5" x14ac:dyDescent="0.3">
      <c r="A231" s="3"/>
      <c r="B231" s="3" t="str">
        <f>"UM_UMS07_UNITS - UMS07 Units"</f>
        <v>UM_UMS07_UNITS - UMS07 Units</v>
      </c>
      <c r="C231" s="3" t="str">
        <f>"Num6.3"</f>
        <v>Num6.3</v>
      </c>
      <c r="D231" s="4"/>
      <c r="E231" s="3" t="str">
        <f>"UMS07 Units"</f>
        <v>UMS07 Units</v>
      </c>
    </row>
    <row r="232" spans="1:5" x14ac:dyDescent="0.3">
      <c r="A232" s="3"/>
      <c r="B232" s="3" t="str">
        <f>"UM_UNT_DIST - Units Distance"</f>
        <v>UM_UNT_DIST - Units Distance</v>
      </c>
      <c r="C232" s="3" t="str">
        <f>"Num10.3"</f>
        <v>Num10.3</v>
      </c>
      <c r="D232" s="4"/>
      <c r="E232" s="3" t="str">
        <f>"Units Distance"</f>
        <v>Units Distance</v>
      </c>
    </row>
    <row r="233" spans="1:5" x14ac:dyDescent="0.3">
      <c r="A233" s="3"/>
      <c r="B233" s="3" t="str">
        <f>"UM_UNT_ITV - Itv Receive Units"</f>
        <v>UM_UNT_ITV - Itv Receive Units</v>
      </c>
      <c r="C233" s="3" t="str">
        <f>"Num10.3"</f>
        <v>Num10.3</v>
      </c>
      <c r="D233" s="4"/>
      <c r="E233" s="3" t="str">
        <f>"Itv Receive Unt"</f>
        <v>Itv Receive Unt</v>
      </c>
    </row>
    <row r="234" spans="1:5" x14ac:dyDescent="0.3">
      <c r="A234" s="3"/>
      <c r="B234" s="3" t="str">
        <f>"UM_UNT_TAK_CAREER - Units Taken For Career"</f>
        <v>UM_UNT_TAK_CAREER - Units Taken For Career</v>
      </c>
      <c r="C234" s="3" t="str">
        <f>"Num6.3"</f>
        <v>Num6.3</v>
      </c>
      <c r="D234" s="4"/>
      <c r="E234" s="3" t="str">
        <f>"Unt Takn Career"</f>
        <v>Unt Takn Career</v>
      </c>
    </row>
    <row r="235" spans="1:5" x14ac:dyDescent="0.3">
      <c r="A235" s="3"/>
      <c r="B235" s="3" t="str">
        <f>"UM_UNT_TAK_PRG_RC - Units Taken Progress Row Check"</f>
        <v>UM_UNT_TAK_PRG_RC - Units Taken Progress Row Check</v>
      </c>
      <c r="C235" s="3" t="str">
        <f>"Num6.3"</f>
        <v>Num6.3</v>
      </c>
      <c r="D235" s="4"/>
      <c r="E235" s="3" t="str">
        <f>"Units Taken Prg"</f>
        <v>Units Taken Prg</v>
      </c>
    </row>
    <row r="236" spans="1:5" x14ac:dyDescent="0.3">
      <c r="A236" s="3"/>
      <c r="B236" s="3" t="str">
        <f>"UM_UNT_WEB - Web Units"</f>
        <v>UM_UNT_WEB - Web Units</v>
      </c>
      <c r="C236" s="3" t="str">
        <f>"Num10.3"</f>
        <v>Num10.3</v>
      </c>
      <c r="D236" s="4"/>
      <c r="E236" s="3" t="str">
        <f>"Web Units"</f>
        <v>Web Units</v>
      </c>
    </row>
    <row r="237" spans="1:5" x14ac:dyDescent="0.3">
      <c r="A237" s="3"/>
      <c r="B237" s="3" t="str">
        <f>"UNIT_MULTIPLIER - Unit Multiplier"</f>
        <v>UNIT_MULTIPLIER - Unit Multiplier</v>
      </c>
      <c r="C237" s="3" t="str">
        <f>"Num5.4"</f>
        <v>Num5.4</v>
      </c>
      <c r="D237" s="4"/>
      <c r="E237" s="3" t="str">
        <f>"Multiplier"</f>
        <v>Multiplier</v>
      </c>
    </row>
    <row r="238" spans="1:5" x14ac:dyDescent="0.3">
      <c r="A238" s="3"/>
      <c r="B238" s="3" t="str">
        <f>"UNT_AUDIT - Units Audited"</f>
        <v>UNT_AUDIT - Units Audited</v>
      </c>
      <c r="C238" s="3" t="str">
        <f>"Num6.3"</f>
        <v>Num6.3</v>
      </c>
      <c r="D238" s="4"/>
      <c r="E238" s="3" t="str">
        <f>"Audit"</f>
        <v>Audit</v>
      </c>
    </row>
    <row r="239" spans="1:5" x14ac:dyDescent="0.3">
      <c r="A239" s="3"/>
      <c r="B239" s="3" t="str">
        <f>"UNT_INPROG_GPA - Units In Progress - GPA"</f>
        <v>UNT_INPROG_GPA - Units In Progress - GPA</v>
      </c>
      <c r="C239" s="3" t="str">
        <f>"Num6.3"</f>
        <v>Num6.3</v>
      </c>
      <c r="D239" s="4"/>
      <c r="E239" s="3" t="str">
        <f>"InPr GPA"</f>
        <v>InPr GPA</v>
      </c>
    </row>
    <row r="240" spans="1:5" x14ac:dyDescent="0.3">
      <c r="A240" s="3"/>
      <c r="B240" s="3" t="str">
        <f>"UNT_INPROG_NOGPA - Unit In Progress - Not for GPA"</f>
        <v>UNT_INPROG_NOGPA - Unit In Progress - Not for GPA</v>
      </c>
      <c r="C240" s="3" t="str">
        <f>"Num6.3"</f>
        <v>Num6.3</v>
      </c>
      <c r="D240" s="4"/>
      <c r="E240" s="3" t="str">
        <f>"InPr NoGPA"</f>
        <v>InPr NoGPA</v>
      </c>
    </row>
    <row r="241" spans="1:5" x14ac:dyDescent="0.3">
      <c r="A241" s="3"/>
      <c r="B241" s="3" t="str">
        <f>"UNT_OTHER - Units from Other Credit"</f>
        <v>UNT_OTHER - Units from Other Credit</v>
      </c>
      <c r="C241" s="3" t="str">
        <f>"Num6.3"</f>
        <v>Num6.3</v>
      </c>
      <c r="D241" s="4"/>
      <c r="E241" s="3" t="str">
        <f>"Other"</f>
        <v>Other</v>
      </c>
    </row>
    <row r="242" spans="1:5" x14ac:dyDescent="0.3">
      <c r="A242" s="3"/>
      <c r="B242" s="3" t="str">
        <f>"UNT_PASSD_FA - Fin Aid Progress Units Passed"</f>
        <v>UNT_PASSD_FA - Fin Aid Progress Units Passed</v>
      </c>
      <c r="C242" s="3" t="str">
        <f>"Num6.3"</f>
        <v>Num6.3</v>
      </c>
      <c r="D242" s="4"/>
      <c r="E242" s="3" t="str">
        <f>"FA Passed"</f>
        <v>FA Passed</v>
      </c>
    </row>
    <row r="243" spans="1:5" x14ac:dyDescent="0.3">
      <c r="A243" s="3"/>
      <c r="B243" s="3" t="str">
        <f>"UNT_PASSD_GPA - Units Passed Toward GPA"</f>
        <v>UNT_PASSD_GPA - Units Passed Toward GPA</v>
      </c>
      <c r="C243" s="3" t="str">
        <f>"Num6.3"</f>
        <v>Num6.3</v>
      </c>
      <c r="D243" s="4"/>
      <c r="E243" s="3" t="str">
        <f>"Pass GPA"</f>
        <v>Pass GPA</v>
      </c>
    </row>
    <row r="244" spans="1:5" x14ac:dyDescent="0.3">
      <c r="A244" s="3"/>
      <c r="B244" s="3" t="str">
        <f>"UNT_PASSD_NOGPA - Units Passed Not Toward GPA"</f>
        <v>UNT_PASSD_NOGPA - Units Passed Not Toward GPA</v>
      </c>
      <c r="C244" s="3" t="str">
        <f>"Num6.3"</f>
        <v>Num6.3</v>
      </c>
      <c r="D244" s="4"/>
      <c r="E244" s="3" t="str">
        <f>"PassNoGPA"</f>
        <v>PassNoGPA</v>
      </c>
    </row>
    <row r="245" spans="1:5" x14ac:dyDescent="0.3">
      <c r="A245" s="3"/>
      <c r="B245" s="3" t="str">
        <f>"UNT_PASSD_PRGRSS - Units Passed for Progress"</f>
        <v>UNT_PASSD_PRGRSS - Units Passed for Progress</v>
      </c>
      <c r="C245" s="3" t="str">
        <f>"Num6.3"</f>
        <v>Num6.3</v>
      </c>
      <c r="D245" s="4"/>
      <c r="E245" s="3" t="str">
        <f>"Pass Prgrs"</f>
        <v>Pass Prgrs</v>
      </c>
    </row>
    <row r="246" spans="1:5" x14ac:dyDescent="0.3">
      <c r="A246" s="3"/>
      <c r="B246" s="3" t="str">
        <f>"UNT_TAKEN_FA - Fin Aid Progress Units Taken"</f>
        <v>UNT_TAKEN_FA - Fin Aid Progress Units Taken</v>
      </c>
      <c r="C246" s="3" t="str">
        <f>"Num6.3"</f>
        <v>Num6.3</v>
      </c>
      <c r="D246" s="4"/>
      <c r="E246" s="3" t="str">
        <f>"FA Taken"</f>
        <v>FA Taken</v>
      </c>
    </row>
    <row r="247" spans="1:5" x14ac:dyDescent="0.3">
      <c r="A247" s="3"/>
      <c r="B247" s="3" t="str">
        <f>"UNT_TAKEN_FA_GPA - FA Units Taken Toward GPA"</f>
        <v>UNT_TAKEN_FA_GPA - FA Units Taken Toward GPA</v>
      </c>
      <c r="C247" s="3" t="str">
        <f>"Num6.3"</f>
        <v>Num6.3</v>
      </c>
      <c r="D247" s="4"/>
      <c r="E247" s="3" t="str">
        <f>"FA Units T"</f>
        <v>FA Units T</v>
      </c>
    </row>
    <row r="248" spans="1:5" x14ac:dyDescent="0.3">
      <c r="A248" s="3"/>
      <c r="B248" s="3" t="str">
        <f>"UNT_TAKEN_GPA - Units Taken Toward GPA"</f>
        <v>UNT_TAKEN_GPA - Units Taken Toward GPA</v>
      </c>
      <c r="C248" s="3" t="str">
        <f>"Num6.3"</f>
        <v>Num6.3</v>
      </c>
      <c r="D248" s="4"/>
      <c r="E248" s="3" t="str">
        <f>"Take GPA"</f>
        <v>Take GPA</v>
      </c>
    </row>
    <row r="249" spans="1:5" x14ac:dyDescent="0.3">
      <c r="A249" s="3"/>
      <c r="B249" s="3" t="str">
        <f>"UNT_TAKEN_NOGPA - Units Taken Not Toward GPA"</f>
        <v>UNT_TAKEN_NOGPA - Units Taken Not Toward GPA</v>
      </c>
      <c r="C249" s="3" t="str">
        <f>"Num6.3"</f>
        <v>Num6.3</v>
      </c>
      <c r="D249" s="4"/>
      <c r="E249" s="3" t="str">
        <f>"TakeNoGPA"</f>
        <v>TakeNoGPA</v>
      </c>
    </row>
    <row r="250" spans="1:5" x14ac:dyDescent="0.3">
      <c r="A250" s="3"/>
      <c r="B250" s="3" t="str">
        <f>"UNT_TAKEN_PRGRSS - Units Taken for Progress"</f>
        <v>UNT_TAKEN_PRGRSS - Units Taken for Progress</v>
      </c>
      <c r="C250" s="3" t="str">
        <f>"Num6.3"</f>
        <v>Num6.3</v>
      </c>
      <c r="D250" s="4"/>
      <c r="E250" s="3" t="str">
        <f>"Take Prgrs"</f>
        <v>Take Prgrs</v>
      </c>
    </row>
    <row r="251" spans="1:5" x14ac:dyDescent="0.3">
      <c r="A251" s="3"/>
      <c r="B251" s="3" t="str">
        <f>"UNT_TERM_TOT - Total Term Units"</f>
        <v>UNT_TERM_TOT - Total Term Units</v>
      </c>
      <c r="C251" s="3" t="str">
        <f>"Num6.3"</f>
        <v>Num6.3</v>
      </c>
      <c r="D251" s="4"/>
      <c r="E251" s="3" t="str">
        <f>"Total"</f>
        <v>Total</v>
      </c>
    </row>
    <row r="252" spans="1:5" x14ac:dyDescent="0.3">
      <c r="A252" s="3"/>
      <c r="B252" s="3" t="str">
        <f>"UNT_TEST_CREDIT - Units from Test Credit"</f>
        <v>UNT_TEST_CREDIT - Units from Test Credit</v>
      </c>
      <c r="C252" s="3" t="str">
        <f>"Num6.3"</f>
        <v>Num6.3</v>
      </c>
      <c r="D252" s="4"/>
      <c r="E252" s="3" t="str">
        <f>"Test"</f>
        <v>Test</v>
      </c>
    </row>
    <row r="253" spans="1:5" x14ac:dyDescent="0.3">
      <c r="A253" s="3"/>
      <c r="B253" s="3" t="str">
        <f>"UNT_TRNSFR - Units Transferred"</f>
        <v>UNT_TRNSFR - Units Transferred</v>
      </c>
      <c r="C253" s="3" t="str">
        <f>"Num6.3"</f>
        <v>Num6.3</v>
      </c>
      <c r="D253" s="4"/>
      <c r="E253" s="3" t="str">
        <f>"Transfer"</f>
        <v>Transfer</v>
      </c>
    </row>
    <row r="254" spans="1:5" x14ac:dyDescent="0.3">
      <c r="A254" s="3"/>
      <c r="B254" s="3" t="str">
        <f>"UNTPRG_CHG_NSLC_DT - Unit Progrss Changed Date NSC"</f>
        <v>UNTPRG_CHG_NSLC_DT - Unit Progrss Changed Date NSC</v>
      </c>
      <c r="C254" s="3" t="str">
        <f>"Date"</f>
        <v>Date</v>
      </c>
      <c r="D254" s="4"/>
      <c r="E254" s="3" t="str">
        <f>"Unit ChgDt NSC"</f>
        <v>Unit ChgDt NSC</v>
      </c>
    </row>
    <row r="255" spans="1:5" x14ac:dyDescent="0.3">
      <c r="A255" s="3"/>
      <c r="B255" s="3" t="str">
        <f>"VALIDATED - Election Validated"</f>
        <v>VALIDATED - Election Validated</v>
      </c>
      <c r="C255" s="3" t="str">
        <f>"Char1"</f>
        <v>Char1</v>
      </c>
      <c r="D255" s="4"/>
      <c r="E255" s="3" t="str">
        <f>"Validated"</f>
        <v>Validated</v>
      </c>
    </row>
    <row r="256" spans="1:5" x14ac:dyDescent="0.3">
      <c r="A256" s="3"/>
      <c r="B256" s="3" t="str">
        <f>"VALIDATED_DT - Date Data Validated"</f>
        <v>VALIDATED_DT - Date Data Validated</v>
      </c>
      <c r="C256" s="3" t="str">
        <f>"Date"</f>
        <v>Date</v>
      </c>
      <c r="D256" s="4"/>
      <c r="E256" s="3" t="str">
        <f>"Date Validated"</f>
        <v>Date Validated</v>
      </c>
    </row>
    <row r="257" spans="1:5" x14ac:dyDescent="0.3">
      <c r="A257" s="3"/>
      <c r="B257" s="3" t="str">
        <f>"WITHDRAW_CODE - Withdrawal \ Cancel"</f>
        <v>WITHDRAW_CODE - Withdrawal \ Cancel</v>
      </c>
      <c r="C257" s="3" t="str">
        <f>"Char3"</f>
        <v>Char3</v>
      </c>
      <c r="D257" s="3" t="str">
        <f>"N"</f>
        <v>N</v>
      </c>
      <c r="E257" s="3" t="str">
        <f>"Wdraw Code"</f>
        <v>Wdraw Code</v>
      </c>
    </row>
    <row r="258" spans="1:5" x14ac:dyDescent="0.3">
      <c r="A258" s="3"/>
      <c r="B258" s="3" t="str">
        <f>"WITHDRAW_DATE - Withdrawal \ Cancel Date"</f>
        <v>WITHDRAW_DATE - Withdrawal \ Cancel Date</v>
      </c>
      <c r="C258" s="3" t="str">
        <f>"Date"</f>
        <v>Date</v>
      </c>
      <c r="D258" s="4"/>
      <c r="E258" s="3" t="str">
        <f>"Wdraw Date"</f>
        <v>Wdraw Date</v>
      </c>
    </row>
    <row r="259" spans="1:5" x14ac:dyDescent="0.3">
      <c r="A259" s="3"/>
      <c r="B259" s="3" t="str">
        <f>"WITHDRAW_REASON - Withdrawal \ Cancel Reason"</f>
        <v>WITHDRAW_REASON - Withdrawal \ Cancel Reason</v>
      </c>
      <c r="C259" s="3" t="str">
        <f>"Char4"</f>
        <v>Char4</v>
      </c>
      <c r="D259" s="3" t="str">
        <f>"N"</f>
        <v>N</v>
      </c>
      <c r="E259" s="3" t="str">
        <f>"WithdrlRsn"</f>
        <v>WithdrlRsn</v>
      </c>
    </row>
  </sheetData>
  <sortState ref="A2:E259">
    <sortCondition ref="B1"/>
  </sortState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UM_STUD_EXT_ARC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C Larsen</dc:creator>
  <cp:lastModifiedBy>Corina C Larsen</cp:lastModifiedBy>
  <dcterms:created xsi:type="dcterms:W3CDTF">2017-07-10T14:10:52Z</dcterms:created>
  <dcterms:modified xsi:type="dcterms:W3CDTF">2017-07-10T14:22:53Z</dcterms:modified>
</cp:coreProperties>
</file>